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 codeName="{DC747B9D-DBBB-FA85-71B4-595EBAB97821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A18E04A0-30D0-4512-88FF-ACAD7587C6F1}" xr6:coauthVersionLast="47" xr6:coauthVersionMax="47" xr10:uidLastSave="{00000000-0000-0000-0000-000000000000}"/>
  <bookViews>
    <workbookView showVerticalScroll="0" xWindow="-108" yWindow="-108" windowWidth="23256" windowHeight="12456" xr2:uid="{00000000-000D-0000-FFFF-FFFF00000000}"/>
  </bookViews>
  <sheets>
    <sheet name="Equipes" sheetId="1" r:id="rId1"/>
    <sheet name="Feuille de Jury" sheetId="4" r:id="rId2"/>
    <sheet name="Feuil2" sheetId="2" r:id="rId3"/>
  </sheets>
  <definedNames>
    <definedName name="_xlnm.Print_Titles" localSheetId="0">Equipes!$1:$1</definedName>
    <definedName name="_xlnm.Print_Area" localSheetId="0">Equipes!$A$1:$L$53</definedName>
  </definedNames>
  <calcPr calcId="191029"/>
</workbook>
</file>

<file path=xl/calcChain.xml><?xml version="1.0" encoding="utf-8"?>
<calcChain xmlns="http://schemas.openxmlformats.org/spreadsheetml/2006/main">
  <c r="E29" i="2" l="1"/>
  <c r="C6" i="1"/>
  <c r="B6" i="1"/>
  <c r="F5" i="1" s="1"/>
  <c r="K20" i="1"/>
  <c r="K15" i="1"/>
  <c r="C10" i="1"/>
  <c r="B29" i="2" s="1"/>
  <c r="C31" i="2" s="1"/>
  <c r="E16" i="1"/>
  <c r="E17" i="1"/>
  <c r="J10" i="1"/>
  <c r="G16" i="1"/>
  <c r="E23" i="1"/>
  <c r="E14" i="1" l="1"/>
  <c r="B62" i="1"/>
  <c r="C62" i="1" s="1"/>
  <c r="D62" i="1" s="1"/>
  <c r="E62" i="1" s="1"/>
  <c r="I62" i="1" s="1"/>
  <c r="C43" i="1" s="1"/>
  <c r="D43" i="1" s="1"/>
  <c r="B55" i="1"/>
  <c r="B57" i="1" s="1"/>
  <c r="B58" i="1" s="1"/>
  <c r="C58" i="1" s="1"/>
  <c r="D6" i="1"/>
  <c r="M9" i="1" s="1"/>
  <c r="C30" i="1"/>
  <c r="E31" i="2"/>
  <c r="F33" i="2" s="1"/>
  <c r="C30" i="2"/>
  <c r="D30" i="2" s="1"/>
  <c r="E30" i="2" s="1"/>
  <c r="E6" i="1" l="1"/>
  <c r="H6" i="1" s="1"/>
  <c r="I6" i="1" s="1"/>
  <c r="I8" i="1" s="1"/>
  <c r="F8" i="2" s="1"/>
  <c r="G8" i="2" s="1"/>
  <c r="J62" i="1"/>
  <c r="C44" i="1" s="1"/>
  <c r="D44" i="1" s="1"/>
  <c r="D45" i="1" s="1"/>
  <c r="D31" i="1"/>
  <c r="D30" i="1"/>
  <c r="E33" i="2"/>
  <c r="C14" i="1" s="1"/>
  <c r="I43" i="1"/>
  <c r="L43" i="1"/>
  <c r="F7" i="2" l="1"/>
  <c r="G7" i="2" s="1"/>
  <c r="H10" i="2"/>
  <c r="I10" i="2" s="1"/>
  <c r="J10" i="2" s="1"/>
  <c r="F9" i="2"/>
  <c r="G9" i="2" s="1"/>
  <c r="J8" i="1" s="1"/>
  <c r="H15" i="2"/>
  <c r="H16" i="2"/>
  <c r="H7" i="2"/>
  <c r="I7" i="2" s="1"/>
  <c r="J7" i="2" s="1"/>
  <c r="H14" i="2"/>
  <c r="H13" i="2"/>
  <c r="H9" i="2"/>
  <c r="I9" i="2" s="1"/>
  <c r="J9" i="2" s="1"/>
  <c r="G7" i="1"/>
  <c r="H8" i="2"/>
  <c r="I8" i="2" s="1"/>
  <c r="J8" i="2" s="1"/>
  <c r="F10" i="2"/>
  <c r="G10" i="2" s="1"/>
  <c r="L44" i="1"/>
  <c r="L45" i="1" s="1"/>
  <c r="L46" i="1" s="1"/>
  <c r="L47" i="1" s="1"/>
  <c r="L48" i="1" s="1"/>
  <c r="L49" i="1" s="1"/>
  <c r="L50" i="1" s="1"/>
  <c r="L51" i="1" s="1"/>
  <c r="L52" i="1" s="1"/>
  <c r="L53" i="1" s="1"/>
  <c r="I44" i="1"/>
  <c r="F44" i="1"/>
  <c r="D46" i="1"/>
  <c r="D47" i="1"/>
  <c r="D48" i="1" s="1"/>
  <c r="D49" i="1" s="1"/>
  <c r="L30" i="1"/>
  <c r="L31" i="1" s="1"/>
  <c r="L32" i="1" s="1"/>
  <c r="I30" i="1"/>
  <c r="D32" i="1"/>
  <c r="D33" i="1" s="1"/>
  <c r="I31" i="1"/>
  <c r="F31" i="1"/>
  <c r="I45" i="1"/>
  <c r="F45" i="1"/>
  <c r="L33" i="1" l="1"/>
  <c r="L34" i="1" s="1"/>
  <c r="L35" i="1" s="1"/>
  <c r="L36" i="1" s="1"/>
  <c r="L37" i="1" s="1"/>
  <c r="L38" i="1" s="1"/>
  <c r="L39" i="1" s="1"/>
  <c r="L40" i="1" s="1"/>
  <c r="F46" i="1"/>
  <c r="E21" i="1"/>
  <c r="G16" i="2"/>
  <c r="L8" i="1"/>
  <c r="J43" i="1" s="1"/>
  <c r="J44" i="1" s="1"/>
  <c r="J45" i="1" s="1"/>
  <c r="G15" i="2"/>
  <c r="G14" i="2"/>
  <c r="G13" i="2"/>
  <c r="J30" i="1"/>
  <c r="J31" i="1" s="1"/>
  <c r="I46" i="1"/>
  <c r="F47" i="1"/>
  <c r="I47" i="1"/>
  <c r="D34" i="1"/>
  <c r="D35" i="1" s="1"/>
  <c r="I35" i="1" s="1"/>
  <c r="F33" i="1"/>
  <c r="I33" i="1"/>
  <c r="F32" i="1"/>
  <c r="I32" i="1"/>
  <c r="D50" i="1"/>
  <c r="F49" i="1"/>
  <c r="I49" i="1"/>
  <c r="I48" i="1"/>
  <c r="F48" i="1"/>
  <c r="J46" i="1" l="1"/>
  <c r="J47" i="1" s="1"/>
  <c r="J48" i="1" s="1"/>
  <c r="J49" i="1" s="1"/>
  <c r="F34" i="1"/>
  <c r="J32" i="1"/>
  <c r="F35" i="1"/>
  <c r="D36" i="1"/>
  <c r="F36" i="1" s="1"/>
  <c r="I34" i="1"/>
  <c r="D51" i="1"/>
  <c r="I50" i="1"/>
  <c r="F50" i="1"/>
  <c r="J50" i="1" l="1"/>
  <c r="J33" i="1"/>
  <c r="N31" i="1" s="1"/>
  <c r="I36" i="1"/>
  <c r="D37" i="1"/>
  <c r="I51" i="1"/>
  <c r="D52" i="1"/>
  <c r="F51" i="1"/>
  <c r="I37" i="1" l="1"/>
  <c r="J51" i="1"/>
  <c r="N44" i="1"/>
  <c r="J34" i="1"/>
  <c r="J35" i="1" s="1"/>
  <c r="J36" i="1" s="1"/>
  <c r="D38" i="1"/>
  <c r="F38" i="1" s="1"/>
  <c r="F37" i="1"/>
  <c r="I52" i="1"/>
  <c r="F52" i="1"/>
  <c r="D53" i="1"/>
  <c r="N45" i="1" s="1"/>
  <c r="J37" i="1" l="1"/>
  <c r="N47" i="1"/>
  <c r="J52" i="1"/>
  <c r="D39" i="1"/>
  <c r="I39" i="1" s="1"/>
  <c r="I38" i="1"/>
  <c r="F53" i="1"/>
  <c r="I53" i="1"/>
  <c r="J38" i="1" l="1"/>
  <c r="J39" i="1" s="1"/>
  <c r="J53" i="1"/>
  <c r="D40" i="1"/>
  <c r="F39" i="1"/>
  <c r="I40" i="1" l="1"/>
  <c r="J40" i="1" s="1"/>
  <c r="N32" i="1"/>
  <c r="N34" i="1" s="1"/>
  <c r="F40" i="1"/>
</calcChain>
</file>

<file path=xl/sharedStrings.xml><?xml version="1.0" encoding="utf-8"?>
<sst xmlns="http://schemas.openxmlformats.org/spreadsheetml/2006/main" count="122" uniqueCount="94">
  <si>
    <t>TOTAL</t>
  </si>
  <si>
    <t>MISE CLUB</t>
  </si>
  <si>
    <t>TOTAL MISE</t>
  </si>
  <si>
    <t>CONCOURS</t>
  </si>
  <si>
    <t>MISE</t>
  </si>
  <si>
    <t xml:space="preserve">MISE CLUB </t>
  </si>
  <si>
    <t>Cadrage</t>
  </si>
  <si>
    <t>2ème Concours</t>
  </si>
  <si>
    <t>Finale</t>
  </si>
  <si>
    <t>DEP</t>
  </si>
  <si>
    <t>Mise 1er Tour</t>
  </si>
  <si>
    <t>1er Tour du 1er</t>
  </si>
  <si>
    <t>INDEMNITES</t>
  </si>
  <si>
    <t xml:space="preserve">TRIP PRO </t>
  </si>
  <si>
    <t xml:space="preserve">DOUB PRO </t>
  </si>
  <si>
    <t xml:space="preserve">T à T PRO </t>
  </si>
  <si>
    <t>Départemental</t>
  </si>
  <si>
    <t>Total</t>
  </si>
  <si>
    <t>Vérification</t>
  </si>
  <si>
    <t>Indem Réelle</t>
  </si>
  <si>
    <t>Formule</t>
  </si>
  <si>
    <t>Issue 1er Conc</t>
  </si>
  <si>
    <t>1er Tour du 2ème</t>
  </si>
  <si>
    <t>B sans P 1er T A</t>
  </si>
  <si>
    <t>B avec P 1er T</t>
  </si>
  <si>
    <t>2ème T du 2ème</t>
  </si>
  <si>
    <t>Eq Totales</t>
  </si>
  <si>
    <t>55-60-95-70</t>
  </si>
  <si>
    <t>45-40-35-30</t>
  </si>
  <si>
    <t>Retard</t>
  </si>
  <si>
    <t>Perd 2è Tour du 1er</t>
  </si>
  <si>
    <t>Répartition Indemnités</t>
  </si>
  <si>
    <t>55% - 45 %</t>
  </si>
  <si>
    <t>60% - 40 %</t>
  </si>
  <si>
    <t>65% - 35 %</t>
  </si>
  <si>
    <t>70% - 30 %</t>
  </si>
  <si>
    <t>REELLES</t>
  </si>
  <si>
    <t>Ret Conc 2</t>
  </si>
  <si>
    <t>Paiement 1er Tour</t>
  </si>
  <si>
    <t>OUI</t>
  </si>
  <si>
    <t>Paiement 1ère Partie</t>
  </si>
  <si>
    <t>NON</t>
  </si>
  <si>
    <t>EQUIPES : CONCOURS A - CONCOURS B</t>
  </si>
  <si>
    <t>Equipes Conc A</t>
  </si>
  <si>
    <t>Retard Conc A</t>
  </si>
  <si>
    <t>Total Conc A</t>
  </si>
  <si>
    <t>Retard Conc B</t>
  </si>
  <si>
    <t>CALCUL SUR CONCOURS A</t>
  </si>
  <si>
    <t>Rec Perdants 2ème Tour A</t>
  </si>
  <si>
    <t>Réc P 2èT A</t>
  </si>
  <si>
    <r>
      <t xml:space="preserve"> DEP </t>
    </r>
    <r>
      <rPr>
        <b/>
        <sz val="12"/>
        <rFont val="Times New Roman"/>
        <family val="1"/>
      </rPr>
      <t xml:space="preserve">/ </t>
    </r>
    <r>
      <rPr>
        <b/>
        <sz val="12"/>
        <color indexed="10"/>
        <rFont val="Times New Roman"/>
        <family val="1"/>
      </rPr>
      <t>PROMOTION</t>
    </r>
  </si>
  <si>
    <r>
      <t xml:space="preserve"> DEPARTEMENTAL</t>
    </r>
    <r>
      <rPr>
        <b/>
        <sz val="12"/>
        <rFont val="Times New Roman"/>
        <family val="1"/>
      </rPr>
      <t xml:space="preserve"> / </t>
    </r>
    <r>
      <rPr>
        <b/>
        <sz val="12"/>
        <color indexed="10"/>
        <rFont val="Times New Roman"/>
        <family val="1"/>
      </rPr>
      <t>PROMOTION</t>
    </r>
  </si>
  <si>
    <t>PAIEMENT AU CUMUL</t>
  </si>
  <si>
    <t>Equipes Indemisées</t>
  </si>
  <si>
    <t>Indemnités par Equipes</t>
  </si>
  <si>
    <t>Cumul par Parties</t>
  </si>
  <si>
    <t>Reste Indemnités à Répartire</t>
  </si>
  <si>
    <t>Cumulé</t>
  </si>
  <si>
    <t>1ère Partie</t>
  </si>
  <si>
    <t>2ème Partie</t>
  </si>
  <si>
    <t>1/128</t>
  </si>
  <si>
    <t>1/64</t>
  </si>
  <si>
    <t>1/32</t>
  </si>
  <si>
    <t>1/16</t>
  </si>
  <si>
    <t>1/8</t>
  </si>
  <si>
    <t>1/4</t>
  </si>
  <si>
    <t>1/2</t>
  </si>
  <si>
    <t>Concours B</t>
  </si>
  <si>
    <t>Répartition Indemnités Concours A</t>
  </si>
  <si>
    <t>Répartition Indemnités Concours B</t>
  </si>
  <si>
    <t>DOTATION DES CONCOURS A-B</t>
  </si>
  <si>
    <t>Ordre à suivre</t>
  </si>
  <si>
    <t>1-2-3-4-5</t>
  </si>
  <si>
    <t xml:space="preserve">TRIP </t>
  </si>
  <si>
    <t xml:space="preserve">DOUB </t>
  </si>
  <si>
    <t xml:space="preserve">T à T </t>
  </si>
  <si>
    <t>A compléter</t>
  </si>
  <si>
    <t>Concours A</t>
  </si>
  <si>
    <t>Total Conc B</t>
  </si>
  <si>
    <t>OUI OBLIGATOIRE</t>
  </si>
  <si>
    <r>
      <rPr>
        <b/>
        <sz val="14"/>
        <color indexed="12"/>
        <rFont val="Times New Roman"/>
        <family val="1"/>
      </rPr>
      <t>Concours</t>
    </r>
    <r>
      <rPr>
        <b/>
        <sz val="14"/>
        <color indexed="8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B</t>
    </r>
  </si>
  <si>
    <t>A mettre à la main                si modifications</t>
  </si>
  <si>
    <t>Somme après cadrage</t>
  </si>
  <si>
    <t>Répartition Concours DEP ou PRO</t>
  </si>
  <si>
    <t>H8</t>
  </si>
  <si>
    <t>En cas de Challenge, Souvenir ou Grand prix</t>
  </si>
  <si>
    <t>mise de 35% à mettre cette valeur dans la case orange Réelles</t>
  </si>
  <si>
    <t>Montant par Tour restant</t>
  </si>
  <si>
    <t>Nombre de tours restants après cadrage</t>
  </si>
  <si>
    <t>ARBITRE</t>
  </si>
  <si>
    <t>MEMBRES:</t>
  </si>
  <si>
    <t>CLUB et Date</t>
  </si>
  <si>
    <t>FEUILLE DE JURY</t>
  </si>
  <si>
    <t>PRESIDENT (e):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</si>
</sst>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F&quot;"/>
    <numFmt numFmtId="165" formatCode="_-* #,##0.00\ [$€-1]_-;\-* #,##0.00\ [$€-1]_-;_-* &quot;-&quot;??\ [$€-1]_-"/>
    <numFmt numFmtId="166" formatCode="#,##0.00\ [$€-1]"/>
    <numFmt numFmtId="167" formatCode="_-* #,##0.00\ [$€-1]_-;\-* #,##0.00\ [$€-1]_-;_-* &quot;-&quot;??\ [$€-1]_-;_-@_-"/>
    <numFmt numFmtId="168" formatCode="#,##0.00\ &quot;€&quot;"/>
    <numFmt numFmtId="169" formatCode="#,##0.00\ [$€-1];\-#,##0.00\ [$€-1]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color indexed="10"/>
      <name val="Arial"/>
      <family val="2"/>
    </font>
    <font>
      <b/>
      <sz val="12"/>
      <color indexed="20"/>
      <name val="Times New Roman"/>
      <family val="1"/>
    </font>
    <font>
      <sz val="10"/>
      <color indexed="10"/>
      <name val="Times New Roman"/>
      <family val="1"/>
    </font>
    <font>
      <b/>
      <sz val="20"/>
      <name val="Times New Roman"/>
      <family val="1"/>
    </font>
    <font>
      <b/>
      <sz val="48"/>
      <color indexed="10"/>
      <name val="Times New Roman"/>
      <family val="1"/>
    </font>
    <font>
      <b/>
      <sz val="48"/>
      <color indexed="48"/>
      <name val="Times New Roman"/>
      <family val="1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22"/>
      <name val="Times New Roman"/>
      <family val="1"/>
    </font>
    <font>
      <b/>
      <sz val="35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b/>
      <sz val="28"/>
      <color indexed="10"/>
      <name val="Times New Roman"/>
      <family val="1"/>
    </font>
    <font>
      <b/>
      <sz val="48"/>
      <color indexed="10"/>
      <name val="Times New Roman"/>
      <family val="1"/>
    </font>
    <font>
      <b/>
      <sz val="16"/>
      <name val="Times New Roman"/>
      <family val="1"/>
    </font>
    <font>
      <b/>
      <i/>
      <sz val="30"/>
      <name val="Times New Roman"/>
      <family val="1"/>
    </font>
    <font>
      <sz val="3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26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2"/>
      <name val="Times New Roman"/>
      <family val="1"/>
    </font>
    <font>
      <b/>
      <sz val="13"/>
      <name val="Times New Roman"/>
      <family val="1"/>
    </font>
    <font>
      <b/>
      <sz val="14"/>
      <color rgb="FF000000"/>
      <name val="Times New Roman"/>
      <family val="1"/>
    </font>
    <font>
      <b/>
      <sz val="11"/>
      <color indexed="10"/>
      <name val="Times New Roman"/>
      <family val="1"/>
    </font>
    <font>
      <b/>
      <sz val="22"/>
      <color rgb="FFFF0000"/>
      <name val="Times New Roman"/>
      <family val="1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72"/>
      <color rgb="FF9B9B9B"/>
      <name val="Arial"/>
      <family val="2"/>
    </font>
    <font>
      <b/>
      <sz val="20"/>
      <name val="Arial"/>
      <family val="2"/>
    </font>
    <font>
      <b/>
      <sz val="4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168" fontId="3" fillId="4" borderId="9" xfId="0" applyNumberFormat="1" applyFont="1" applyFill="1" applyBorder="1" applyAlignment="1" applyProtection="1">
      <alignment horizontal="center" vertical="center"/>
      <protection locked="0"/>
    </xf>
    <xf numFmtId="168" fontId="25" fillId="5" borderId="14" xfId="0" applyNumberFormat="1" applyFont="1" applyFill="1" applyBorder="1" applyAlignment="1" applyProtection="1">
      <alignment horizontal="center" vertical="center"/>
      <protection locked="0"/>
    </xf>
    <xf numFmtId="168" fontId="25" fillId="5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26" xfId="0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/>
    <xf numFmtId="0" fontId="0" fillId="0" borderId="27" xfId="0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15" fillId="2" borderId="0" xfId="0" applyNumberFormat="1" applyFont="1" applyFill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8" fillId="3" borderId="19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9" fontId="6" fillId="3" borderId="20" xfId="0" applyNumberFormat="1" applyFont="1" applyFill="1" applyBorder="1" applyAlignment="1">
      <alignment horizontal="center" vertical="center"/>
    </xf>
    <xf numFmtId="169" fontId="9" fillId="3" borderId="22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horizontal="left" vertical="center"/>
    </xf>
    <xf numFmtId="168" fontId="6" fillId="3" borderId="9" xfId="0" applyNumberFormat="1" applyFont="1" applyFill="1" applyBorder="1" applyAlignment="1">
      <alignment horizontal="center" vertical="center"/>
    </xf>
    <xf numFmtId="168" fontId="6" fillId="3" borderId="22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167" fontId="9" fillId="3" borderId="6" xfId="0" applyNumberFormat="1" applyFont="1" applyFill="1" applyBorder="1" applyAlignment="1">
      <alignment horizontal="right" vertical="center"/>
    </xf>
    <xf numFmtId="0" fontId="6" fillId="8" borderId="53" xfId="0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vertical="center"/>
    </xf>
    <xf numFmtId="169" fontId="3" fillId="3" borderId="22" xfId="0" applyNumberFormat="1" applyFont="1" applyFill="1" applyBorder="1" applyAlignment="1">
      <alignment horizontal="center" vertical="center"/>
    </xf>
    <xf numFmtId="168" fontId="3" fillId="3" borderId="54" xfId="0" applyNumberFormat="1" applyFont="1" applyFill="1" applyBorder="1" applyAlignment="1">
      <alignment horizontal="center" vertical="center"/>
    </xf>
    <xf numFmtId="0" fontId="25" fillId="7" borderId="59" xfId="0" applyFont="1" applyFill="1" applyBorder="1" applyAlignment="1">
      <alignment vertical="center"/>
    </xf>
    <xf numFmtId="169" fontId="25" fillId="7" borderId="52" xfId="0" applyNumberFormat="1" applyFont="1" applyFill="1" applyBorder="1" applyAlignment="1">
      <alignment vertical="center"/>
    </xf>
    <xf numFmtId="0" fontId="25" fillId="7" borderId="52" xfId="0" applyFont="1" applyFill="1" applyBorder="1" applyAlignment="1">
      <alignment vertical="center"/>
    </xf>
    <xf numFmtId="0" fontId="6" fillId="7" borderId="28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168" fontId="6" fillId="3" borderId="7" xfId="0" applyNumberFormat="1" applyFont="1" applyFill="1" applyBorder="1" applyAlignment="1">
      <alignment horizontal="center" vertical="center"/>
    </xf>
    <xf numFmtId="168" fontId="6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165" fontId="6" fillId="3" borderId="20" xfId="0" applyNumberFormat="1" applyFont="1" applyFill="1" applyBorder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167" fontId="6" fillId="3" borderId="0" xfId="0" applyNumberFormat="1" applyFont="1" applyFill="1" applyAlignment="1">
      <alignment horizontal="right" vertical="center"/>
    </xf>
    <xf numFmtId="169" fontId="2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168" fontId="5" fillId="3" borderId="20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6" fillId="3" borderId="23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168" fontId="25" fillId="3" borderId="14" xfId="0" applyNumberFormat="1" applyFont="1" applyFill="1" applyBorder="1" applyAlignment="1">
      <alignment horizontal="center" vertical="center"/>
    </xf>
    <xf numFmtId="168" fontId="25" fillId="5" borderId="14" xfId="0" applyNumberFormat="1" applyFont="1" applyFill="1" applyBorder="1" applyAlignment="1">
      <alignment horizontal="center" vertical="center"/>
    </xf>
    <xf numFmtId="168" fontId="25" fillId="3" borderId="24" xfId="0" applyNumberFormat="1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left" vertical="center"/>
    </xf>
    <xf numFmtId="0" fontId="26" fillId="3" borderId="14" xfId="0" applyFont="1" applyFill="1" applyBorder="1" applyAlignment="1">
      <alignment horizontal="center" vertical="center"/>
    </xf>
    <xf numFmtId="168" fontId="25" fillId="3" borderId="13" xfId="0" applyNumberFormat="1" applyFont="1" applyFill="1" applyBorder="1" applyAlignment="1">
      <alignment horizontal="center" vertical="center"/>
    </xf>
    <xf numFmtId="0" fontId="2" fillId="13" borderId="56" xfId="0" applyFont="1" applyFill="1" applyBorder="1" applyAlignment="1">
      <alignment vertical="center"/>
    </xf>
    <xf numFmtId="168" fontId="6" fillId="13" borderId="23" xfId="0" applyNumberFormat="1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left" vertical="center"/>
    </xf>
    <xf numFmtId="0" fontId="25" fillId="3" borderId="12" xfId="0" quotePrefix="1" applyFont="1" applyFill="1" applyBorder="1" applyAlignment="1">
      <alignment horizontal="left" vertical="center"/>
    </xf>
    <xf numFmtId="0" fontId="25" fillId="3" borderId="15" xfId="0" applyFont="1" applyFill="1" applyBorder="1" applyAlignment="1">
      <alignment horizontal="left" vertical="center"/>
    </xf>
    <xf numFmtId="0" fontId="25" fillId="3" borderId="16" xfId="0" applyFont="1" applyFill="1" applyBorder="1" applyAlignment="1">
      <alignment horizontal="left" vertical="center"/>
    </xf>
    <xf numFmtId="0" fontId="26" fillId="3" borderId="16" xfId="0" applyFont="1" applyFill="1" applyBorder="1" applyAlignment="1">
      <alignment horizontal="left" vertical="center"/>
    </xf>
    <xf numFmtId="0" fontId="26" fillId="3" borderId="17" xfId="0" applyFont="1" applyFill="1" applyBorder="1" applyAlignment="1">
      <alignment horizontal="center" vertical="center"/>
    </xf>
    <xf numFmtId="168" fontId="25" fillId="5" borderId="17" xfId="0" applyNumberFormat="1" applyFont="1" applyFill="1" applyBorder="1" applyAlignment="1">
      <alignment horizontal="center" vertical="center"/>
    </xf>
    <xf numFmtId="168" fontId="25" fillId="3" borderId="21" xfId="0" applyNumberFormat="1" applyFont="1" applyFill="1" applyBorder="1" applyAlignment="1">
      <alignment horizontal="center" vertical="center"/>
    </xf>
    <xf numFmtId="168" fontId="25" fillId="3" borderId="25" xfId="0" applyNumberFormat="1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166" fontId="2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165" fontId="5" fillId="6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169" fontId="25" fillId="14" borderId="28" xfId="0" applyNumberFormat="1" applyFont="1" applyFill="1" applyBorder="1" applyAlignment="1">
      <alignment horizontal="center" vertical="center"/>
    </xf>
    <xf numFmtId="169" fontId="6" fillId="4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1"/>
    <xf numFmtId="0" fontId="35" fillId="0" borderId="0" xfId="1" applyFont="1"/>
    <xf numFmtId="0" fontId="36" fillId="0" borderId="0" xfId="1" applyFont="1"/>
    <xf numFmtId="0" fontId="36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5" fillId="7" borderId="5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left" vertical="center"/>
    </xf>
    <xf numFmtId="0" fontId="25" fillId="9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8" fillId="1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164" fontId="6" fillId="3" borderId="41" xfId="0" applyNumberFormat="1" applyFont="1" applyFill="1" applyBorder="1" applyAlignment="1">
      <alignment horizontal="center" vertical="center"/>
    </xf>
    <xf numFmtId="164" fontId="6" fillId="3" borderId="42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69" fontId="33" fillId="3" borderId="0" xfId="0" applyNumberFormat="1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68" fontId="25" fillId="3" borderId="39" xfId="0" applyNumberFormat="1" applyFont="1" applyFill="1" applyBorder="1" applyAlignment="1">
      <alignment horizontal="center" vertical="center"/>
    </xf>
    <xf numFmtId="168" fontId="25" fillId="3" borderId="40" xfId="0" applyNumberFormat="1" applyFont="1" applyFill="1" applyBorder="1" applyAlignment="1">
      <alignment horizontal="center" vertical="center"/>
    </xf>
    <xf numFmtId="165" fontId="5" fillId="3" borderId="19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23" fillId="9" borderId="28" xfId="0" applyFont="1" applyFill="1" applyBorder="1" applyAlignment="1" applyProtection="1">
      <alignment horizontal="center" vertical="center"/>
      <protection locked="0"/>
    </xf>
    <xf numFmtId="0" fontId="24" fillId="9" borderId="28" xfId="0" applyFont="1" applyFill="1" applyBorder="1" applyAlignment="1" applyProtection="1">
      <alignment horizontal="center" vertical="center"/>
      <protection locked="0"/>
    </xf>
    <xf numFmtId="0" fontId="23" fillId="7" borderId="28" xfId="0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 wrapText="1"/>
    </xf>
    <xf numFmtId="0" fontId="19" fillId="3" borderId="57" xfId="0" applyFont="1" applyFill="1" applyBorder="1" applyAlignment="1">
      <alignment horizontal="center" vertical="center" wrapText="1"/>
    </xf>
    <xf numFmtId="168" fontId="25" fillId="3" borderId="47" xfId="0" applyNumberFormat="1" applyFont="1" applyFill="1" applyBorder="1" applyAlignment="1">
      <alignment horizontal="center" vertical="center"/>
    </xf>
    <xf numFmtId="168" fontId="25" fillId="3" borderId="48" xfId="0" applyNumberFormat="1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3" fillId="9" borderId="34" xfId="0" applyFont="1" applyFill="1" applyBorder="1" applyAlignment="1">
      <alignment horizontal="center" vertical="center"/>
    </xf>
    <xf numFmtId="0" fontId="23" fillId="9" borderId="2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1" fillId="12" borderId="27" xfId="0" applyFont="1" applyFill="1" applyBorder="1" applyAlignment="1">
      <alignment horizontal="center" vertical="center"/>
    </xf>
    <xf numFmtId="0" fontId="11" fillId="12" borderId="34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23" fillId="8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168" fontId="3" fillId="3" borderId="15" xfId="0" applyNumberFormat="1" applyFont="1" applyFill="1" applyBorder="1" applyAlignment="1">
      <alignment horizontal="center" vertical="center"/>
    </xf>
    <xf numFmtId="168" fontId="3" fillId="3" borderId="16" xfId="0" applyNumberFormat="1" applyFont="1" applyFill="1" applyBorder="1" applyAlignment="1">
      <alignment horizontal="center" vertical="center"/>
    </xf>
    <xf numFmtId="168" fontId="25" fillId="3" borderId="49" xfId="0" applyNumberFormat="1" applyFont="1" applyFill="1" applyBorder="1" applyAlignment="1">
      <alignment horizontal="center" vertical="center"/>
    </xf>
    <xf numFmtId="168" fontId="25" fillId="3" borderId="50" xfId="0" applyNumberFormat="1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34" fillId="7" borderId="40" xfId="0" applyFont="1" applyFill="1" applyBorder="1" applyAlignment="1">
      <alignment horizontal="center" vertical="center" wrapText="1"/>
    </xf>
    <xf numFmtId="0" fontId="34" fillId="7" borderId="58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35" fillId="0" borderId="52" xfId="1" applyFont="1" applyBorder="1" applyAlignment="1">
      <alignment horizontal="center"/>
    </xf>
    <xf numFmtId="0" fontId="40" fillId="0" borderId="0" xfId="1" applyFont="1" applyAlignment="1">
      <alignment horizontal="center"/>
    </xf>
    <xf numFmtId="0" fontId="35" fillId="0" borderId="62" xfId="1" applyFont="1" applyBorder="1" applyAlignment="1">
      <alignment horizontal="center"/>
    </xf>
    <xf numFmtId="0" fontId="35" fillId="0" borderId="13" xfId="1" applyFont="1" applyBorder="1" applyAlignment="1">
      <alignment horizontal="center"/>
    </xf>
    <xf numFmtId="0" fontId="35" fillId="0" borderId="55" xfId="1" applyFont="1" applyBorder="1" applyAlignment="1">
      <alignment horizontal="center"/>
    </xf>
    <xf numFmtId="0" fontId="38" fillId="0" borderId="52" xfId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2">
    <cellStyle name="Normal" xfId="0" builtinId="0"/>
    <cellStyle name="Normal 2" xfId="1" xr:uid="{8922B127-0309-445A-996C-7E3C0DE5193E}"/>
  </cellStyles>
  <dxfs count="19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FF33CC"/>
      <color rgb="FFF9B3A5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0.xml"/><Relationship Id="rId5" Type="http://schemas.openxmlformats.org/officeDocument/2006/relationships/styles" Target="styles.xml"/><Relationship Id="rId10" Type="http://schemas.microsoft.com/office/2017/10/relationships/person" Target="persons/person1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Spin" dx="15" fmlaLink="Feuil2!$A$16" max="4" min="1" page="10" val="3"/>
</file>

<file path=xl/ctrlProps/ctrlProp2.xml><?xml version="1.0" encoding="utf-8"?>
<formControlPr xmlns="http://schemas.microsoft.com/office/spreadsheetml/2009/9/main" objectType="Spin" dx="15" fmlaLink="Feuil2!$P$7" max="5" min="1" page="10" val="4"/>
</file>

<file path=xl/ctrlProps/ctrlProp3.xml><?xml version="1.0" encoding="utf-8"?>
<formControlPr xmlns="http://schemas.microsoft.com/office/spreadsheetml/2009/9/main" objectType="Spin" dx="16" fmlaLink="Feuil2!$C$20" max="2" min="1" page="10" val="2"/>
</file>

<file path=xl/ctrlProps/ctrlProp4.xml><?xml version="1.0" encoding="utf-8"?>
<formControlPr xmlns="http://schemas.microsoft.com/office/spreadsheetml/2009/9/main" objectType="Spin" dx="16" fmlaLink="Feuil2!$C$23" max="2" min="1" page="10" val="2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11</xdr:row>
      <xdr:rowOff>123825</xdr:rowOff>
    </xdr:from>
    <xdr:to>
      <xdr:col>11</xdr:col>
      <xdr:colOff>133350</xdr:colOff>
      <xdr:row>13</xdr:row>
      <xdr:rowOff>0</xdr:rowOff>
    </xdr:to>
    <xdr:sp macro="" textlink="">
      <xdr:nvSpPr>
        <xdr:cNvPr id="7269" name="AutoShape 45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rrowheads="1"/>
        </xdr:cNvSpPr>
      </xdr:nvSpPr>
      <xdr:spPr bwMode="auto">
        <a:xfrm rot="5693946">
          <a:off x="6681787" y="2319338"/>
          <a:ext cx="295275" cy="1504950"/>
        </a:xfrm>
        <a:prstGeom prst="curvedLeftArrow">
          <a:avLst>
            <a:gd name="adj1" fmla="val 103611"/>
            <a:gd name="adj2" fmla="val 207245"/>
            <a:gd name="adj3" fmla="val 26921"/>
          </a:avLst>
        </a:prstGeom>
        <a:solidFill>
          <a:srgbClr val="CCFFFF"/>
        </a:solidFill>
        <a:ln w="9525">
          <a:noFill/>
          <a:miter lim="800000"/>
          <a:headEnd/>
          <a:tailEnd/>
        </a:ln>
        <a:effectLst>
          <a:prstShdw prst="shdw17" dist="17961" dir="13500000">
            <a:srgbClr val="7A9999"/>
          </a:prstShdw>
        </a:effectLst>
      </xdr:spPr>
    </xdr:sp>
    <xdr:clientData fPrintsWithSheet="0"/>
  </xdr:twoCellAnchor>
  <xdr:twoCellAnchor>
    <xdr:from>
      <xdr:col>0</xdr:col>
      <xdr:colOff>1047750</xdr:colOff>
      <xdr:row>1</xdr:row>
      <xdr:rowOff>57150</xdr:rowOff>
    </xdr:from>
    <xdr:to>
      <xdr:col>1</xdr:col>
      <xdr:colOff>914400</xdr:colOff>
      <xdr:row>3</xdr:row>
      <xdr:rowOff>47625</xdr:rowOff>
    </xdr:to>
    <xdr:sp macro="" textlink="">
      <xdr:nvSpPr>
        <xdr:cNvPr id="7270" name="AutoShape 49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rrowheads="1"/>
        </xdr:cNvSpPr>
      </xdr:nvSpPr>
      <xdr:spPr bwMode="auto">
        <a:xfrm rot="-4740209">
          <a:off x="1362075" y="295275"/>
          <a:ext cx="381000" cy="1009650"/>
        </a:xfrm>
        <a:prstGeom prst="curvedLeftArrow">
          <a:avLst>
            <a:gd name="adj1" fmla="val 37750"/>
            <a:gd name="adj2" fmla="val 75488"/>
            <a:gd name="adj3" fmla="val 33333"/>
          </a:avLst>
        </a:prstGeom>
        <a:solidFill>
          <a:srgbClr val="CCFFFF"/>
        </a:solidFill>
        <a:ln w="9525">
          <a:noFill/>
          <a:miter lim="800000"/>
          <a:headEnd/>
          <a:tailEnd/>
        </a:ln>
        <a:effectLst>
          <a:prstShdw prst="shdw17" dist="17961" dir="13500000">
            <a:srgbClr val="7A9999"/>
          </a:prstShdw>
        </a:effectLst>
      </xdr:spPr>
    </xdr:sp>
    <xdr:clientData fPrintsWithSheet="0"/>
  </xdr:twoCellAnchor>
  <xdr:twoCellAnchor>
    <xdr:from>
      <xdr:col>9</xdr:col>
      <xdr:colOff>723900</xdr:colOff>
      <xdr:row>17</xdr:row>
      <xdr:rowOff>57150</xdr:rowOff>
    </xdr:from>
    <xdr:to>
      <xdr:col>10</xdr:col>
      <xdr:colOff>333375</xdr:colOff>
      <xdr:row>18</xdr:row>
      <xdr:rowOff>0</xdr:rowOff>
    </xdr:to>
    <xdr:sp macro="" textlink="">
      <xdr:nvSpPr>
        <xdr:cNvPr id="7271" name="AutoShape 53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rrowheads="1"/>
        </xdr:cNvSpPr>
      </xdr:nvSpPr>
      <xdr:spPr bwMode="auto">
        <a:xfrm>
          <a:off x="6705600" y="4076700"/>
          <a:ext cx="342900" cy="142875"/>
        </a:xfrm>
        <a:prstGeom prst="curvedUpArrow">
          <a:avLst>
            <a:gd name="adj1" fmla="val 61189"/>
            <a:gd name="adj2" fmla="val 122456"/>
            <a:gd name="adj3" fmla="val 33333"/>
          </a:avLst>
        </a:prstGeom>
        <a:solidFill>
          <a:srgbClr val="CCFFFF"/>
        </a:solidFill>
        <a:ln w="9525">
          <a:noFill/>
          <a:miter lim="800000"/>
          <a:headEnd/>
          <a:tailEnd/>
        </a:ln>
        <a:effectLst>
          <a:prstShdw prst="shdw17" dist="17961" dir="13500000">
            <a:srgbClr val="7A9999"/>
          </a:prstShdw>
        </a:effectLst>
      </xdr:spPr>
    </xdr:sp>
    <xdr:clientData fPrintsWithSheet="0"/>
  </xdr:twoCellAnchor>
  <xdr:twoCellAnchor>
    <xdr:from>
      <xdr:col>9</xdr:col>
      <xdr:colOff>676275</xdr:colOff>
      <xdr:row>22</xdr:row>
      <xdr:rowOff>38100</xdr:rowOff>
    </xdr:from>
    <xdr:to>
      <xdr:col>10</xdr:col>
      <xdr:colOff>276225</xdr:colOff>
      <xdr:row>23</xdr:row>
      <xdr:rowOff>0</xdr:rowOff>
    </xdr:to>
    <xdr:sp macro="" textlink="">
      <xdr:nvSpPr>
        <xdr:cNvPr id="7272" name="AutoShape 5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rrowheads="1"/>
        </xdr:cNvSpPr>
      </xdr:nvSpPr>
      <xdr:spPr bwMode="auto">
        <a:xfrm>
          <a:off x="6657975" y="5057775"/>
          <a:ext cx="333375" cy="161925"/>
        </a:xfrm>
        <a:prstGeom prst="curvedUpArrow">
          <a:avLst>
            <a:gd name="adj1" fmla="val 59754"/>
            <a:gd name="adj2" fmla="val 119555"/>
            <a:gd name="adj3" fmla="val 33333"/>
          </a:avLst>
        </a:prstGeom>
        <a:solidFill>
          <a:srgbClr val="CCFFFF"/>
        </a:solidFill>
        <a:ln w="9525">
          <a:noFill/>
          <a:miter lim="800000"/>
          <a:headEnd/>
          <a:tailEnd/>
        </a:ln>
        <a:effectLst>
          <a:prstShdw prst="shdw17" dist="17961" dir="13500000">
            <a:srgbClr val="7A9999"/>
          </a:prstShdw>
        </a:effectLst>
      </xdr:spPr>
    </xdr:sp>
    <xdr:clientData fPrintsWithSheet="0"/>
  </xdr:twoCellAnchor>
  <xdr:twoCellAnchor>
    <xdr:from>
      <xdr:col>1</xdr:col>
      <xdr:colOff>114300</xdr:colOff>
      <xdr:row>1</xdr:row>
      <xdr:rowOff>101600</xdr:rowOff>
    </xdr:from>
    <xdr:to>
      <xdr:col>1</xdr:col>
      <xdr:colOff>520700</xdr:colOff>
      <xdr:row>3</xdr:row>
      <xdr:rowOff>159000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257300" y="660400"/>
          <a:ext cx="406400" cy="451100"/>
        </a:xfrm>
        <a:prstGeom prst="ellipse">
          <a:avLst/>
        </a:prstGeom>
        <a:solidFill>
          <a:schemeClr val="bg1">
            <a:lumMod val="85000"/>
          </a:schemeClr>
        </a:solidFill>
        <a:ln w="31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6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1</a:t>
          </a:r>
        </a:p>
      </xdr:txBody>
    </xdr:sp>
    <xdr:clientData fPrintsWithSheet="0"/>
  </xdr:twoCellAnchor>
  <xdr:twoCellAnchor>
    <xdr:from>
      <xdr:col>1</xdr:col>
      <xdr:colOff>346534</xdr:colOff>
      <xdr:row>13</xdr:row>
      <xdr:rowOff>0</xdr:rowOff>
    </xdr:from>
    <xdr:to>
      <xdr:col>1</xdr:col>
      <xdr:colOff>747891</xdr:colOff>
      <xdr:row>15</xdr:row>
      <xdr:rowOff>43600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489534" y="3211286"/>
          <a:ext cx="401357" cy="451814"/>
        </a:xfrm>
        <a:prstGeom prst="ellipse">
          <a:avLst/>
        </a:prstGeom>
        <a:solidFill>
          <a:schemeClr val="bg1">
            <a:lumMod val="85000"/>
          </a:schemeClr>
        </a:solidFill>
        <a:ln w="31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6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2</a:t>
          </a:r>
        </a:p>
      </xdr:txBody>
    </xdr:sp>
    <xdr:clientData fPrintsWithSheet="0"/>
  </xdr:twoCellAnchor>
  <xdr:twoCellAnchor>
    <xdr:from>
      <xdr:col>11</xdr:col>
      <xdr:colOff>711200</xdr:colOff>
      <xdr:row>11</xdr:row>
      <xdr:rowOff>76200</xdr:rowOff>
    </xdr:from>
    <xdr:to>
      <xdr:col>11</xdr:col>
      <xdr:colOff>1118000</xdr:colOff>
      <xdr:row>13</xdr:row>
      <xdr:rowOff>94400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178800" y="2895600"/>
          <a:ext cx="406800" cy="450000"/>
        </a:xfrm>
        <a:prstGeom prst="ellipse">
          <a:avLst/>
        </a:prstGeom>
        <a:solidFill>
          <a:schemeClr val="bg1">
            <a:lumMod val="85000"/>
          </a:schemeClr>
        </a:solidFill>
        <a:ln w="31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6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3</a:t>
          </a:r>
        </a:p>
      </xdr:txBody>
    </xdr:sp>
    <xdr:clientData fPrintsWithSheet="0"/>
  </xdr:twoCellAnchor>
  <xdr:twoCellAnchor>
    <xdr:from>
      <xdr:col>8</xdr:col>
      <xdr:colOff>533400</xdr:colOff>
      <xdr:row>14</xdr:row>
      <xdr:rowOff>88900</xdr:rowOff>
    </xdr:from>
    <xdr:to>
      <xdr:col>9</xdr:col>
      <xdr:colOff>127400</xdr:colOff>
      <xdr:row>16</xdr:row>
      <xdr:rowOff>132500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715000" y="3543300"/>
          <a:ext cx="406800" cy="450000"/>
        </a:xfrm>
        <a:prstGeom prst="ellipse">
          <a:avLst/>
        </a:prstGeom>
        <a:solidFill>
          <a:schemeClr val="bg1">
            <a:lumMod val="85000"/>
          </a:schemeClr>
        </a:solidFill>
        <a:ln w="31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6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4</a:t>
          </a:r>
        </a:p>
      </xdr:txBody>
    </xdr:sp>
    <xdr:clientData fPrintsWithSheet="0"/>
  </xdr:twoCellAnchor>
  <xdr:twoCellAnchor>
    <xdr:from>
      <xdr:col>8</xdr:col>
      <xdr:colOff>533400</xdr:colOff>
      <xdr:row>19</xdr:row>
      <xdr:rowOff>76200</xdr:rowOff>
    </xdr:from>
    <xdr:to>
      <xdr:col>9</xdr:col>
      <xdr:colOff>127400</xdr:colOff>
      <xdr:row>21</xdr:row>
      <xdr:rowOff>119800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715000" y="4546600"/>
          <a:ext cx="406800" cy="450000"/>
        </a:xfrm>
        <a:prstGeom prst="ellipse">
          <a:avLst/>
        </a:prstGeom>
        <a:solidFill>
          <a:schemeClr val="bg1">
            <a:lumMod val="85000"/>
          </a:schemeClr>
        </a:solidFill>
        <a:ln w="31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6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5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426720</xdr:colOff>
          <xdr:row>3</xdr:row>
          <xdr:rowOff>0</xdr:rowOff>
        </xdr:from>
        <xdr:to>
          <xdr:col>0</xdr:col>
          <xdr:colOff>1074420</xdr:colOff>
          <xdr:row>6</xdr:row>
          <xdr:rowOff>190500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160020</xdr:colOff>
          <xdr:row>11</xdr:row>
          <xdr:rowOff>68580</xdr:rowOff>
        </xdr:from>
        <xdr:to>
          <xdr:col>11</xdr:col>
          <xdr:colOff>579120</xdr:colOff>
          <xdr:row>13</xdr:row>
          <xdr:rowOff>106680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14</xdr:row>
          <xdr:rowOff>0</xdr:rowOff>
        </xdr:from>
        <xdr:to>
          <xdr:col>10</xdr:col>
          <xdr:colOff>0</xdr:colOff>
          <xdr:row>17</xdr:row>
          <xdr:rowOff>7620</xdr:rowOff>
        </xdr:to>
        <xdr:sp macro="" textlink="">
          <xdr:nvSpPr>
            <xdr:cNvPr id="1075" name="Spinner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190500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105" name="Spinner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3</xdr:col>
      <xdr:colOff>361950</xdr:colOff>
      <xdr:row>18</xdr:row>
      <xdr:rowOff>0</xdr:rowOff>
    </xdr:from>
    <xdr:to>
      <xdr:col>8</xdr:col>
      <xdr:colOff>342900</xdr:colOff>
      <xdr:row>21</xdr:row>
      <xdr:rowOff>12573</xdr:rowOff>
    </xdr:to>
    <xdr:sp macro="" textlink="">
      <xdr:nvSpPr>
        <xdr:cNvPr id="2" name="Bulle narrative : rectangle à coins arrondi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533775" y="4219575"/>
          <a:ext cx="1981200" cy="612648"/>
        </a:xfrm>
        <a:prstGeom prst="wedgeRoundRectCallout">
          <a:avLst>
            <a:gd name="adj1" fmla="val 110979"/>
            <a:gd name="adj2" fmla="val -86754"/>
            <a:gd name="adj3" fmla="val 16667"/>
          </a:avLst>
        </a:prstGeom>
        <a:solidFill>
          <a:srgbClr val="CC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l"/>
          <a:r>
            <a:rPr lang="fr-FR" sz="1400" b="1"/>
            <a:t>mettre sur oui si promo </a:t>
          </a:r>
        </a:p>
        <a:p>
          <a:pPr algn="l"/>
          <a:r>
            <a:rPr lang="fr-FR" sz="1400" b="1"/>
            <a:t>                    non si TC</a:t>
          </a:r>
        </a:p>
      </xdr:txBody>
    </xdr:sp>
    <xdr:clientData/>
  </xdr:twoCellAnchor>
  <xdr:twoCellAnchor>
    <xdr:from>
      <xdr:col>9</xdr:col>
      <xdr:colOff>180976</xdr:colOff>
      <xdr:row>1</xdr:row>
      <xdr:rowOff>152400</xdr:rowOff>
    </xdr:from>
    <xdr:to>
      <xdr:col>11</xdr:col>
      <xdr:colOff>390526</xdr:colOff>
      <xdr:row>4</xdr:row>
      <xdr:rowOff>142875</xdr:rowOff>
    </xdr:to>
    <xdr:sp macro="[0]!Macro1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162676" y="704850"/>
          <a:ext cx="1676400" cy="590550"/>
        </a:xfrm>
        <a:prstGeom prst="roundRect">
          <a:avLst/>
        </a:prstGeom>
        <a:solidFill>
          <a:srgbClr val="F9B3A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2800"/>
            <a:t>Effacer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236220</xdr:colOff>
      <xdr:row>0</xdr:row>
      <xdr:rowOff>160020</xdr:rowOff>
    </xdr:from>
    <xdr:ext cx="1072515" cy="1311275"/>
    <xdr:pic>
      <xdr:nvPicPr>
        <xdr:cNvPr id="2" name="Image 1">
          <a:extLst>
            <a:ext uri="{FF2B5EF4-FFF2-40B4-BE49-F238E27FC236}">
              <a16:creationId xmlns:a16="http://schemas.microsoft.com/office/drawing/2014/main" id="{9AE206CE-BBCB-46A9-8D13-EE7545F83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4" t="6471" r="6299" b="5177"/>
        <a:stretch>
          <a:fillRect/>
        </a:stretch>
      </xdr:blipFill>
      <xdr:spPr bwMode="auto">
        <a:xfrm>
          <a:off x="236220" y="160020"/>
          <a:ext cx="1072515" cy="13112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oneCellAnchor>
    <xdr:from>
      <xdr:col>1</xdr:col>
      <xdr:colOff>0</xdr:colOff>
      <xdr:row>1</xdr:row>
      <xdr:rowOff>0</xdr:rowOff>
    </xdr:from>
    <xdr:ext cx="6187582" cy="1135380"/>
    <xdr:pic>
      <xdr:nvPicPr>
        <xdr:cNvPr id="3" name="Image 2">
          <a:extLst>
            <a:ext uri="{FF2B5EF4-FFF2-40B4-BE49-F238E27FC236}">
              <a16:creationId xmlns:a16="http://schemas.microsoft.com/office/drawing/2014/main" id="{AA403EDA-57AB-48EC-9096-7E3F750CB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" y="182880"/>
          <a:ext cx="6187582" cy="113538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P66"/>
  <sheetViews>
    <sheetView showGridLines="0" showZeros="0" tabSelected="1" zoomScaleNormal="100" workbookViewId="0">
      <selection activeCell="H30" sqref="H30"/>
    </sheetView>
  </sheetViews>
  <sheetFormatPr baseColWidth="10" defaultColWidth="11.5546875" defaultRowHeight="13.2" x14ac:dyDescent="0.25"/>
  <cols>
    <col min="1" max="1" width="17.109375" style="21" customWidth="1"/>
    <col min="2" max="2" width="16" style="21" bestFit="1" customWidth="1"/>
    <col min="3" max="3" width="14.44140625" style="21" customWidth="1"/>
    <col min="4" max="4" width="16" style="21" bestFit="1" customWidth="1"/>
    <col min="5" max="5" width="15.44140625" style="21" hidden="1" customWidth="1"/>
    <col min="6" max="6" width="12.6640625" style="21" hidden="1" customWidth="1"/>
    <col min="7" max="7" width="10.33203125" style="21" hidden="1" customWidth="1"/>
    <col min="8" max="8" width="14" style="21" customWidth="1"/>
    <col min="9" max="9" width="12.109375" style="21" customWidth="1"/>
    <col min="10" max="11" width="11" style="21" customWidth="1"/>
    <col min="12" max="12" width="21.44140625" style="21" bestFit="1" customWidth="1"/>
    <col min="13" max="13" width="24.44140625" style="21" customWidth="1"/>
    <col min="14" max="15" width="24.44140625" style="20" customWidth="1"/>
    <col min="16" max="16" width="21.88671875" style="20" customWidth="1"/>
    <col min="17" max="16384" width="11.5546875" style="21"/>
  </cols>
  <sheetData>
    <row r="1" spans="1:16" ht="43.2" x14ac:dyDescent="0.25">
      <c r="A1" s="125" t="s">
        <v>70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8"/>
      <c r="N1" s="19"/>
    </row>
    <row r="2" spans="1:16" ht="13.5" customHeight="1" thickBot="1" x14ac:dyDescent="0.3"/>
    <row r="3" spans="1:16" s="22" customFormat="1" ht="17.25" customHeight="1" thickTop="1" thickBot="1" x14ac:dyDescent="0.3">
      <c r="B3" s="23"/>
      <c r="C3" s="23"/>
      <c r="D3" s="23"/>
      <c r="E3" s="23"/>
      <c r="F3" s="23" t="s">
        <v>10</v>
      </c>
      <c r="G3" s="24"/>
      <c r="H3" s="131" t="s">
        <v>50</v>
      </c>
      <c r="I3" s="132"/>
      <c r="N3" s="25"/>
      <c r="O3" s="25"/>
      <c r="P3" s="25"/>
    </row>
    <row r="4" spans="1:16" s="22" customFormat="1" ht="16.5" customHeight="1" thickBot="1" x14ac:dyDescent="0.3">
      <c r="B4" s="23"/>
      <c r="C4" s="23"/>
      <c r="D4" s="23"/>
      <c r="E4" s="23" t="s">
        <v>9</v>
      </c>
      <c r="F4" s="23"/>
      <c r="G4" s="24"/>
      <c r="H4" s="133" t="s">
        <v>12</v>
      </c>
      <c r="I4" s="134"/>
      <c r="N4" s="25"/>
      <c r="O4" s="25"/>
      <c r="P4" s="25"/>
    </row>
    <row r="5" spans="1:16" s="22" customFormat="1" ht="21.75" customHeight="1" thickTop="1" thickBot="1" x14ac:dyDescent="0.3">
      <c r="A5" s="26"/>
      <c r="B5" s="27" t="s">
        <v>3</v>
      </c>
      <c r="C5" s="28" t="s">
        <v>4</v>
      </c>
      <c r="D5" s="29" t="s">
        <v>2</v>
      </c>
      <c r="E5" s="23" t="s">
        <v>1</v>
      </c>
      <c r="F5" s="30">
        <f>IF(B6&lt;&gt;"",IF(B6=Feuil2!A5,Feuil2!B5,IF(B6=Feuil2!A6,Feuil2!B6,IF(B6=Feuil2!A7,Feuil2!B7,IF(B6=Feuil2!A8,Feuil2!B8,IF(B6=Feuil2!A9,Feuil2!B9,IF(B6=Feuil2!A10,Feuil2!B10,"")))))))</f>
        <v>10</v>
      </c>
      <c r="G5" s="30"/>
      <c r="H5" s="31" t="s">
        <v>5</v>
      </c>
      <c r="I5" s="32" t="s">
        <v>0</v>
      </c>
      <c r="N5" s="25"/>
      <c r="O5" s="25"/>
      <c r="P5" s="25"/>
    </row>
    <row r="6" spans="1:16" s="22" customFormat="1" ht="17.25" customHeight="1" thickTop="1" thickBot="1" x14ac:dyDescent="0.3">
      <c r="A6" s="26"/>
      <c r="B6" s="33" t="str">
        <f>INDEX(Feuil2!A4:A7,Feuil2!A16)</f>
        <v xml:space="preserve">DOUB </v>
      </c>
      <c r="C6" s="34">
        <f>INDEX(Feuil2!B4:B7,Feuil2!A16)</f>
        <v>10</v>
      </c>
      <c r="D6" s="35">
        <f>IF(C7&lt;&gt;"",SUM(C10-A14)*C7,(C10-A14)*C6)</f>
        <v>0</v>
      </c>
      <c r="E6" s="36">
        <f>IF(B6=Feuil2!A5,D6*25%,IF(B6=Feuil2!A6,D6*25%,IF(B6=Feuil2!A7,D6*25%,IF(B6=Feuil2!A8,D6*25%,IF(B6=Feuil2!A9,D6*25%,IF(B6=Feuil2!A10,D6*25%,""))))))</f>
        <v>0</v>
      </c>
      <c r="F6" s="36"/>
      <c r="G6" s="36"/>
      <c r="H6" s="37">
        <f>$E$6</f>
        <v>0</v>
      </c>
      <c r="I6" s="38">
        <f>IF(B6=Feuil2!A5,D6+H6,IF(B6=Feuil2!A6,D6+H6,IF(B6=Feuil2!A7,D6+H6,IF(B6=Feuil2!A8,D6+H6,IF(B6=Feuil2!A9,D6+H6,IF(B6=Feuil2!A10,D6+H6,""))))))</f>
        <v>0</v>
      </c>
      <c r="J6" s="135" t="s">
        <v>51</v>
      </c>
      <c r="K6" s="136"/>
      <c r="L6" s="136"/>
      <c r="M6" s="122" t="s">
        <v>85</v>
      </c>
      <c r="N6" s="122"/>
      <c r="O6" s="122"/>
      <c r="P6" s="25"/>
    </row>
    <row r="7" spans="1:16" s="22" customFormat="1" ht="16.2" customHeight="1" thickTop="1" thickBot="1" x14ac:dyDescent="0.3">
      <c r="A7" s="39"/>
      <c r="B7" s="40"/>
      <c r="C7" s="114"/>
      <c r="D7" s="41"/>
      <c r="E7" s="30"/>
      <c r="F7" s="30"/>
      <c r="G7" s="30">
        <f>IF(I6&lt;&gt;"",SUM(I8-I6),"")</f>
        <v>0</v>
      </c>
      <c r="H7" s="139" t="s">
        <v>36</v>
      </c>
      <c r="I7" s="140"/>
      <c r="J7" s="197" t="s">
        <v>77</v>
      </c>
      <c r="K7" s="198"/>
      <c r="L7" s="42" t="s">
        <v>67</v>
      </c>
      <c r="M7" s="122"/>
      <c r="N7" s="122"/>
      <c r="O7" s="122"/>
      <c r="P7" s="25"/>
    </row>
    <row r="8" spans="1:16" s="22" customFormat="1" ht="16.2" customHeight="1" thickTop="1" thickBot="1" x14ac:dyDescent="0.3">
      <c r="A8" s="141" t="s">
        <v>42</v>
      </c>
      <c r="B8" s="142"/>
      <c r="C8" s="142"/>
      <c r="D8" s="143"/>
      <c r="E8" s="30"/>
      <c r="F8" s="30"/>
      <c r="G8" s="43"/>
      <c r="H8" s="1"/>
      <c r="I8" s="44">
        <f>IF(H8&lt;&gt;"",H8+D6,I6)</f>
        <v>0</v>
      </c>
      <c r="J8" s="199">
        <f>INDEX(Feuil2!G6:G10,Feuil2!P7)</f>
        <v>0</v>
      </c>
      <c r="K8" s="200"/>
      <c r="L8" s="45">
        <f>INDEX(Feuil2!J6:J10,Feuil2!P7)</f>
        <v>0</v>
      </c>
      <c r="M8" s="46" t="s">
        <v>86</v>
      </c>
      <c r="N8" s="47"/>
      <c r="O8" s="48"/>
    </row>
    <row r="9" spans="1:16" s="22" customFormat="1" ht="24.9" customHeight="1" thickTop="1" thickBot="1" x14ac:dyDescent="0.3">
      <c r="A9" s="49" t="s">
        <v>43</v>
      </c>
      <c r="B9" s="49" t="s">
        <v>44</v>
      </c>
      <c r="C9" s="49" t="s">
        <v>45</v>
      </c>
      <c r="D9" s="50" t="s">
        <v>46</v>
      </c>
      <c r="E9" s="51"/>
      <c r="F9" s="51"/>
      <c r="G9" s="51"/>
      <c r="H9" s="184" t="s">
        <v>47</v>
      </c>
      <c r="I9" s="185"/>
      <c r="J9" s="192" t="s">
        <v>31</v>
      </c>
      <c r="K9" s="193"/>
      <c r="L9" s="193"/>
      <c r="M9" s="113">
        <f>D6*0.35</f>
        <v>0</v>
      </c>
      <c r="N9" s="123" t="s">
        <v>84</v>
      </c>
      <c r="O9" s="124"/>
    </row>
    <row r="10" spans="1:16" s="22" customFormat="1" ht="17.25" customHeight="1" thickTop="1" thickBot="1" x14ac:dyDescent="0.3">
      <c r="A10" s="162"/>
      <c r="B10" s="162"/>
      <c r="C10" s="164">
        <f>SUM(A10+B10)</f>
        <v>0</v>
      </c>
      <c r="D10" s="162"/>
      <c r="E10" s="51"/>
      <c r="F10" s="51"/>
      <c r="G10" s="51"/>
      <c r="H10" s="186"/>
      <c r="I10" s="187"/>
      <c r="J10" s="176" t="str">
        <f>INDEX(Feuil2!E6:E10,Feuil2!P7)</f>
        <v>65% - 35 %</v>
      </c>
      <c r="K10" s="177"/>
      <c r="L10" s="178"/>
      <c r="M10" s="175"/>
      <c r="N10" s="145"/>
      <c r="O10" s="25"/>
      <c r="P10" s="25"/>
    </row>
    <row r="11" spans="1:16" s="22" customFormat="1" ht="17.25" customHeight="1" thickTop="1" thickBot="1" x14ac:dyDescent="0.3">
      <c r="A11" s="163"/>
      <c r="B11" s="163"/>
      <c r="C11" s="165"/>
      <c r="D11" s="163"/>
      <c r="F11" s="23"/>
      <c r="G11" s="24"/>
      <c r="H11" s="182"/>
      <c r="I11" s="183"/>
      <c r="J11" s="179"/>
      <c r="K11" s="180"/>
      <c r="L11" s="181"/>
      <c r="M11" s="175"/>
      <c r="N11" s="145"/>
      <c r="O11" s="25"/>
      <c r="P11" s="25"/>
    </row>
    <row r="12" spans="1:16" s="22" customFormat="1" ht="16.95" customHeight="1" thickTop="1" thickBot="1" x14ac:dyDescent="0.3">
      <c r="A12" s="163"/>
      <c r="B12" s="163"/>
      <c r="C12" s="165"/>
      <c r="D12" s="163"/>
      <c r="E12" s="23"/>
      <c r="F12" s="23"/>
      <c r="G12" s="23"/>
      <c r="H12" s="146"/>
      <c r="I12" s="147"/>
      <c r="J12" s="23"/>
      <c r="K12" s="23"/>
      <c r="N12" s="25"/>
      <c r="O12" s="25"/>
      <c r="P12" s="25"/>
    </row>
    <row r="13" spans="1:16" s="22" customFormat="1" ht="16.5" customHeight="1" thickTop="1" thickBot="1" x14ac:dyDescent="0.3">
      <c r="A13" s="49"/>
      <c r="C13" s="50" t="s">
        <v>78</v>
      </c>
      <c r="D13" s="53"/>
      <c r="E13" s="23"/>
      <c r="F13" s="30"/>
      <c r="G13" s="30"/>
      <c r="H13" s="54"/>
      <c r="I13" s="23"/>
      <c r="J13" s="23"/>
      <c r="K13" s="23"/>
      <c r="N13" s="25"/>
      <c r="O13" s="25"/>
      <c r="P13" s="25"/>
    </row>
    <row r="14" spans="1:16" s="22" customFormat="1" ht="16.2" customHeight="1" thickTop="1" thickBot="1" x14ac:dyDescent="0.3">
      <c r="A14" s="171"/>
      <c r="C14" s="194">
        <f>IF(K20="oui",Feuil2!$E$33,Feuil2!$F$33)</f>
        <v>0</v>
      </c>
      <c r="D14" s="171"/>
      <c r="E14" s="55" t="str">
        <f>IF(B6=Feuil2!A8,D6*25%,IF(B6=Feuil2!A9,D6*25%,IF(B6=Feuil2!A10,D6*25%,"")))</f>
        <v/>
      </c>
      <c r="F14" s="30"/>
      <c r="G14" s="30"/>
      <c r="H14" s="56"/>
      <c r="I14" s="57"/>
      <c r="J14" s="58"/>
      <c r="K14" s="58"/>
      <c r="L14" s="58"/>
      <c r="M14" s="58"/>
      <c r="N14" s="25"/>
      <c r="O14" s="25"/>
      <c r="P14" s="25"/>
    </row>
    <row r="15" spans="1:16" s="22" customFormat="1" ht="16.2" customHeight="1" thickTop="1" x14ac:dyDescent="0.25">
      <c r="A15" s="172"/>
      <c r="C15" s="195"/>
      <c r="D15" s="172"/>
      <c r="E15" s="55"/>
      <c r="F15" s="30"/>
      <c r="G15" s="30"/>
      <c r="H15" s="59"/>
      <c r="I15" s="59"/>
      <c r="J15" s="52"/>
      <c r="K15" s="148" t="str">
        <f>INDEX(Feuil2!B19:B20,Feuil2!C20)</f>
        <v>OUI</v>
      </c>
      <c r="L15" s="138" t="s">
        <v>40</v>
      </c>
      <c r="M15" s="60"/>
      <c r="N15" s="25"/>
      <c r="O15" s="25"/>
      <c r="P15" s="25"/>
    </row>
    <row r="16" spans="1:16" s="22" customFormat="1" ht="16.2" customHeight="1" thickBot="1" x14ac:dyDescent="0.3">
      <c r="A16" s="173"/>
      <c r="C16" s="196"/>
      <c r="D16" s="173"/>
      <c r="E16" s="61">
        <f>CHOOSE(Feuil2!A16,Feuil2!C10,Feuil2!C9,Feuil2!C8,Feuil2!C7,Feuil2!C6,Feuil2!C5,Feuil2!C4)</f>
        <v>9</v>
      </c>
      <c r="F16" s="30"/>
      <c r="G16" s="30" t="str">
        <f>IF(I14&lt;&gt;"",SUM(I16-I14),"")</f>
        <v/>
      </c>
      <c r="H16" s="59"/>
      <c r="I16" s="59"/>
      <c r="J16" s="62"/>
      <c r="K16" s="149"/>
      <c r="L16" s="138"/>
      <c r="M16" s="60"/>
      <c r="N16" s="25"/>
      <c r="O16" s="25"/>
      <c r="P16" s="25"/>
    </row>
    <row r="17" spans="1:16" s="22" customFormat="1" ht="16.2" customHeight="1" thickTop="1" thickBot="1" x14ac:dyDescent="0.3">
      <c r="E17" s="63" t="str">
        <f>IF(D10&lt;&gt;"",SUM(D10-D14)*E16,"")</f>
        <v/>
      </c>
      <c r="F17" s="51"/>
      <c r="G17" s="51"/>
      <c r="H17" s="59"/>
      <c r="I17" s="59"/>
      <c r="K17" s="150"/>
      <c r="L17" s="138"/>
      <c r="M17" s="60"/>
      <c r="N17" s="64"/>
      <c r="O17" s="25"/>
      <c r="P17" s="25"/>
    </row>
    <row r="18" spans="1:16" s="22" customFormat="1" ht="16.2" customHeight="1" thickTop="1" x14ac:dyDescent="0.25">
      <c r="E18" s="55"/>
      <c r="F18" s="51"/>
      <c r="G18" s="51"/>
      <c r="H18" s="65"/>
      <c r="I18" s="65"/>
      <c r="J18" s="130"/>
      <c r="N18" s="151"/>
      <c r="O18" s="25"/>
      <c r="P18" s="25"/>
    </row>
    <row r="19" spans="1:16" s="22" customFormat="1" ht="16.2" customHeight="1" thickBot="1" x14ac:dyDescent="0.3">
      <c r="A19" s="188"/>
      <c r="B19" s="174" t="s">
        <v>81</v>
      </c>
      <c r="C19" s="174"/>
      <c r="E19" s="66"/>
      <c r="F19" s="67"/>
      <c r="G19" s="67"/>
      <c r="H19" s="51"/>
      <c r="I19" s="51"/>
      <c r="J19" s="130"/>
      <c r="L19" s="68" t="s">
        <v>80</v>
      </c>
      <c r="N19" s="152"/>
      <c r="O19" s="64"/>
      <c r="P19" s="25"/>
    </row>
    <row r="20" spans="1:16" s="22" customFormat="1" ht="16.2" customHeight="1" thickTop="1" x14ac:dyDescent="0.25">
      <c r="A20" s="188"/>
      <c r="B20" s="174"/>
      <c r="C20" s="174"/>
      <c r="F20" s="55"/>
      <c r="G20" s="51"/>
      <c r="H20" s="51"/>
      <c r="I20" s="65"/>
      <c r="J20" s="130"/>
      <c r="K20" s="189" t="str">
        <f>INDEX(Feuil2!B23:B24,Feuil2!C23)</f>
        <v>OUI</v>
      </c>
      <c r="L20" s="138" t="s">
        <v>48</v>
      </c>
      <c r="M20" s="60"/>
      <c r="N20" s="152"/>
      <c r="O20" s="25"/>
      <c r="P20" s="25"/>
    </row>
    <row r="21" spans="1:16" s="22" customFormat="1" ht="16.2" customHeight="1" x14ac:dyDescent="0.25">
      <c r="A21" s="69"/>
      <c r="B21" s="69"/>
      <c r="C21" s="69"/>
      <c r="D21" s="69"/>
      <c r="E21" s="70">
        <f>IF(C10&lt;&gt;"",INDEX(Feuil2!J6:J10,Feuil2!P7),INDEX(Feuil2!I6:I10,Feuil2!P7))</f>
        <v>0</v>
      </c>
      <c r="F21" s="70"/>
      <c r="G21" s="70"/>
      <c r="H21" s="69"/>
      <c r="I21" s="69"/>
      <c r="J21" s="65"/>
      <c r="K21" s="190"/>
      <c r="L21" s="138"/>
      <c r="M21" s="60"/>
      <c r="N21" s="64"/>
      <c r="O21" s="64"/>
      <c r="P21" s="25"/>
    </row>
    <row r="22" spans="1:16" s="22" customFormat="1" ht="16.2" customHeight="1" thickBot="1" x14ac:dyDescent="0.3">
      <c r="A22" s="129" t="s">
        <v>72</v>
      </c>
      <c r="B22" s="126" t="s">
        <v>71</v>
      </c>
      <c r="C22" s="126"/>
      <c r="D22" s="69"/>
      <c r="E22" s="70"/>
      <c r="F22" s="70"/>
      <c r="G22" s="70"/>
      <c r="H22" s="69"/>
      <c r="I22" s="69"/>
      <c r="J22" s="160"/>
      <c r="K22" s="191"/>
      <c r="L22" s="138"/>
      <c r="M22" s="60"/>
      <c r="N22" s="145"/>
      <c r="O22" s="64"/>
      <c r="P22" s="25"/>
    </row>
    <row r="23" spans="1:16" s="22" customFormat="1" ht="16.2" customHeight="1" thickTop="1" thickBot="1" x14ac:dyDescent="0.3">
      <c r="A23" s="129"/>
      <c r="B23" s="126"/>
      <c r="C23" s="126"/>
      <c r="D23" s="69"/>
      <c r="E23" s="71">
        <f>IF(D10&lt;&gt;"",INDEX(Feuil2!O6:O10,Feuil2!P7),INDEX(Feuil2!N6:N10,Feuil2!P7))</f>
        <v>0</v>
      </c>
      <c r="F23" s="55"/>
      <c r="G23" s="51"/>
      <c r="H23" s="69"/>
      <c r="I23" s="69"/>
      <c r="J23" s="161"/>
      <c r="K23" s="72"/>
      <c r="N23" s="145"/>
      <c r="O23" s="25"/>
      <c r="P23" s="25"/>
    </row>
    <row r="24" spans="1:16" s="22" customFormat="1" ht="16.2" customHeight="1" thickTop="1" x14ac:dyDescent="0.25">
      <c r="A24" s="69"/>
      <c r="B24" s="69"/>
      <c r="C24" s="69"/>
      <c r="D24" s="69"/>
      <c r="E24" s="62"/>
      <c r="F24" s="55"/>
      <c r="G24" s="51"/>
      <c r="H24" s="69"/>
      <c r="I24" s="69"/>
      <c r="J24" s="161"/>
      <c r="K24" s="137" t="s">
        <v>79</v>
      </c>
      <c r="L24" s="137"/>
      <c r="N24" s="145"/>
      <c r="O24" s="25"/>
      <c r="P24" s="25"/>
    </row>
    <row r="25" spans="1:16" s="22" customFormat="1" ht="16.2" customHeight="1" x14ac:dyDescent="0.25">
      <c r="A25" s="127" t="s">
        <v>76</v>
      </c>
      <c r="B25" s="128"/>
      <c r="C25" s="128"/>
      <c r="D25" s="69"/>
      <c r="E25" s="62"/>
      <c r="F25" s="55"/>
      <c r="G25" s="51"/>
      <c r="H25" s="69"/>
      <c r="I25" s="69"/>
      <c r="J25" s="161"/>
      <c r="N25" s="145"/>
      <c r="O25" s="25"/>
      <c r="P25" s="25"/>
    </row>
    <row r="26" spans="1:16" s="22" customFormat="1" ht="16.2" customHeight="1" x14ac:dyDescent="0.25">
      <c r="A26" s="127"/>
      <c r="B26" s="128"/>
      <c r="C26" s="128"/>
      <c r="D26" s="69"/>
      <c r="E26" s="62"/>
      <c r="F26" s="55"/>
      <c r="G26" s="51"/>
      <c r="H26" s="69"/>
      <c r="I26" s="69"/>
      <c r="J26" s="161"/>
      <c r="N26" s="145"/>
      <c r="O26" s="25"/>
      <c r="P26" s="25"/>
    </row>
    <row r="27" spans="1:16" s="22" customFormat="1" ht="16.2" customHeight="1" x14ac:dyDescent="0.25">
      <c r="A27" s="69"/>
      <c r="B27" s="69"/>
      <c r="C27" s="69"/>
      <c r="D27" s="69"/>
      <c r="E27" s="62"/>
      <c r="F27" s="55"/>
      <c r="G27" s="51"/>
      <c r="H27" s="69"/>
      <c r="I27" s="69"/>
      <c r="J27" s="161"/>
      <c r="N27" s="145"/>
      <c r="O27" s="25"/>
      <c r="P27" s="25"/>
    </row>
    <row r="28" spans="1:16" s="22" customFormat="1" ht="24.9" customHeight="1" thickBot="1" x14ac:dyDescent="0.3">
      <c r="A28" s="203" t="s">
        <v>68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N28" s="25"/>
      <c r="O28" s="25"/>
      <c r="P28" s="25"/>
    </row>
    <row r="29" spans="1:16" s="22" customFormat="1" ht="54.9" customHeight="1" thickTop="1" thickBot="1" x14ac:dyDescent="0.3">
      <c r="A29" s="153" t="s">
        <v>52</v>
      </c>
      <c r="B29" s="154"/>
      <c r="C29" s="155"/>
      <c r="D29" s="73" t="s">
        <v>53</v>
      </c>
      <c r="E29" s="73" t="s">
        <v>54</v>
      </c>
      <c r="F29" s="73" t="s">
        <v>55</v>
      </c>
      <c r="G29" s="73"/>
      <c r="H29" s="73" t="s">
        <v>54</v>
      </c>
      <c r="I29" s="73" t="s">
        <v>55</v>
      </c>
      <c r="J29" s="156" t="s">
        <v>56</v>
      </c>
      <c r="K29" s="157"/>
      <c r="L29" s="74" t="s">
        <v>57</v>
      </c>
      <c r="M29" s="166" t="s">
        <v>83</v>
      </c>
      <c r="N29" s="130"/>
      <c r="O29" s="25"/>
      <c r="P29" s="25"/>
    </row>
    <row r="30" spans="1:16" s="22" customFormat="1" ht="17.100000000000001" customHeight="1" thickBot="1" x14ac:dyDescent="0.3">
      <c r="A30" s="75" t="s">
        <v>58</v>
      </c>
      <c r="B30" s="76"/>
      <c r="C30" s="77">
        <f>ROUNDUP(C10/2,0)</f>
        <v>0</v>
      </c>
      <c r="D30" s="78">
        <f>IF(AND(K15&lt;&gt;"non",C30&lt;&gt;""),C30,"")</f>
        <v>0</v>
      </c>
      <c r="E30" s="79"/>
      <c r="F30" s="79"/>
      <c r="G30" s="79"/>
      <c r="H30" s="2"/>
      <c r="I30" s="79">
        <f>IF(AND(K15&lt;&gt;"non",D30&lt;&gt;""),D30*H30,"")</f>
        <v>0</v>
      </c>
      <c r="J30" s="158">
        <f>IF(AND(K15&lt;&gt;"non",J8&lt;&gt;""),J8-I30,"")</f>
        <v>0</v>
      </c>
      <c r="K30" s="159"/>
      <c r="L30" s="81">
        <f>IF(AND(K15&lt;&gt;"non",D30&lt;&gt;""),H30,"")</f>
        <v>0</v>
      </c>
      <c r="M30" s="166"/>
      <c r="N30" s="130"/>
      <c r="O30" s="25"/>
      <c r="P30" s="25"/>
    </row>
    <row r="31" spans="1:16" s="22" customFormat="1" ht="17.100000000000001" customHeight="1" thickBot="1" x14ac:dyDescent="0.3">
      <c r="A31" s="75" t="s">
        <v>59</v>
      </c>
      <c r="B31" s="76"/>
      <c r="C31" s="82"/>
      <c r="D31" s="83">
        <f>IF(C30&lt;&gt;"",ROUNDUP(C30/2,0),"")</f>
        <v>0</v>
      </c>
      <c r="E31" s="80"/>
      <c r="F31" s="79">
        <f>IF(D31&lt;&gt;"",D31*E31,"")</f>
        <v>0</v>
      </c>
      <c r="G31" s="79"/>
      <c r="H31" s="2"/>
      <c r="I31" s="79">
        <f>IF(D31&lt;&gt;"",D31*H31,"")</f>
        <v>0</v>
      </c>
      <c r="J31" s="169">
        <f>IF(AND(K15&lt;&gt;"non",J30&lt;&gt;""),J30-I31,IF(AND(J8&lt;&gt;"",I31&lt;&gt;""),J8-I31,""))</f>
        <v>0</v>
      </c>
      <c r="K31" s="170"/>
      <c r="L31" s="84">
        <f>IF(AND(K15&lt;&gt;"non",H31&lt;&gt;""),L30+H31,IF(AND(D31&lt;&gt;""),H31,""))</f>
        <v>0</v>
      </c>
      <c r="M31" s="85" t="s">
        <v>82</v>
      </c>
      <c r="N31" s="86">
        <f>J33</f>
        <v>0</v>
      </c>
      <c r="O31" s="25"/>
      <c r="P31" s="25"/>
    </row>
    <row r="32" spans="1:16" s="22" customFormat="1" ht="17.100000000000001" customHeight="1" x14ac:dyDescent="0.25">
      <c r="A32" s="75" t="s">
        <v>6</v>
      </c>
      <c r="B32" s="76"/>
      <c r="C32" s="87"/>
      <c r="D32" s="83">
        <f>IF(D31&gt;=256,D31-256,IF(D31&gt;=128,D31-128,IF(D31&gt;=64,D31-64,IF(D31&gt;=32,D31-32,IF(D31&gt;=16,D31-16,IF(D31&gt;=8,D31-8,IF(D31&gt;=4,D31-4,IF(D31&gt;=2,D31-2,))))))))</f>
        <v>0</v>
      </c>
      <c r="E32" s="80"/>
      <c r="F32" s="79">
        <f>IF(D32&lt;&gt;"",D32*E32,"")</f>
        <v>0</v>
      </c>
      <c r="G32" s="79"/>
      <c r="H32" s="2"/>
      <c r="I32" s="79">
        <f t="shared" ref="I32:I40" si="0">IF(D32&lt;&gt;"",D32*H32,"")</f>
        <v>0</v>
      </c>
      <c r="J32" s="169">
        <f>IF(AND(J31&lt;&gt;"",I32&lt;&gt;""),J31-I32,"")</f>
        <v>0</v>
      </c>
      <c r="K32" s="170"/>
      <c r="L32" s="84">
        <f>IF(AND(L31&lt;&gt;"",H32)&lt;&gt;"",L31+H32,"")</f>
        <v>0</v>
      </c>
      <c r="M32" s="204" t="s">
        <v>88</v>
      </c>
      <c r="N32" s="206">
        <f>COUNTIF(D33:D40,"&gt;0")</f>
        <v>0</v>
      </c>
      <c r="O32" s="25"/>
      <c r="P32" s="25"/>
    </row>
    <row r="33" spans="1:16" s="22" customFormat="1" ht="17.100000000000001" customHeight="1" thickBot="1" x14ac:dyDescent="0.3">
      <c r="A33" s="88" t="s">
        <v>60</v>
      </c>
      <c r="B33" s="76"/>
      <c r="C33" s="87"/>
      <c r="D33" s="83">
        <f>IF(D31-D32=256,256/2,0)</f>
        <v>0</v>
      </c>
      <c r="E33" s="80"/>
      <c r="F33" s="79">
        <f t="shared" ref="F33:F40" si="1">IF(D33&lt;&gt;"",D33*E33,"")</f>
        <v>0</v>
      </c>
      <c r="G33" s="79"/>
      <c r="H33" s="2"/>
      <c r="I33" s="79">
        <f t="shared" si="0"/>
        <v>0</v>
      </c>
      <c r="J33" s="169">
        <f t="shared" ref="J33:J40" si="2">IF(AND(J32&lt;&gt;"",I33&lt;&gt;""),J32-I33,"")</f>
        <v>0</v>
      </c>
      <c r="K33" s="170"/>
      <c r="L33" s="84">
        <f>IF(AND(L32&lt;&gt;"",H33)&lt;&gt;"",L32+H33,"")</f>
        <v>0</v>
      </c>
      <c r="M33" s="205"/>
      <c r="N33" s="207"/>
      <c r="O33" s="25"/>
      <c r="P33" s="25"/>
    </row>
    <row r="34" spans="1:16" s="22" customFormat="1" ht="17.100000000000001" customHeight="1" x14ac:dyDescent="0.25">
      <c r="A34" s="88" t="s">
        <v>61</v>
      </c>
      <c r="B34" s="76"/>
      <c r="C34" s="87"/>
      <c r="D34" s="83">
        <f>IF(D31-D32=256,D33/2,IF(D31-D32=128,128/2,0))</f>
        <v>0</v>
      </c>
      <c r="E34" s="80"/>
      <c r="F34" s="79">
        <f t="shared" si="1"/>
        <v>0</v>
      </c>
      <c r="G34" s="79"/>
      <c r="H34" s="2"/>
      <c r="I34" s="79">
        <f t="shared" si="0"/>
        <v>0</v>
      </c>
      <c r="J34" s="169">
        <f t="shared" si="2"/>
        <v>0</v>
      </c>
      <c r="K34" s="170"/>
      <c r="L34" s="84">
        <f t="shared" ref="L34:L40" si="3">IF(AND(L33&lt;&gt;"",H34)&lt;&gt;"",L33+H34,"")</f>
        <v>0</v>
      </c>
      <c r="M34" s="210" t="s">
        <v>87</v>
      </c>
      <c r="N34" s="167" t="e">
        <f>N31/N32</f>
        <v>#DIV/0!</v>
      </c>
      <c r="O34" s="25"/>
      <c r="P34" s="25"/>
    </row>
    <row r="35" spans="1:16" s="22" customFormat="1" ht="17.100000000000001" customHeight="1" thickBot="1" x14ac:dyDescent="0.3">
      <c r="A35" s="88" t="s">
        <v>62</v>
      </c>
      <c r="B35" s="76"/>
      <c r="C35" s="87"/>
      <c r="D35" s="83">
        <f>IF(D31-D32=64,32,IF(D34=64,D34/2,0))</f>
        <v>0</v>
      </c>
      <c r="E35" s="80"/>
      <c r="F35" s="79">
        <f t="shared" si="1"/>
        <v>0</v>
      </c>
      <c r="G35" s="79"/>
      <c r="H35" s="2"/>
      <c r="I35" s="79">
        <f t="shared" si="0"/>
        <v>0</v>
      </c>
      <c r="J35" s="169">
        <f t="shared" si="2"/>
        <v>0</v>
      </c>
      <c r="K35" s="170"/>
      <c r="L35" s="84">
        <f t="shared" si="3"/>
        <v>0</v>
      </c>
      <c r="M35" s="211"/>
      <c r="N35" s="168"/>
      <c r="O35" s="25"/>
      <c r="P35" s="25"/>
    </row>
    <row r="36" spans="1:16" s="22" customFormat="1" ht="17.100000000000001" customHeight="1" x14ac:dyDescent="0.25">
      <c r="A36" s="88" t="s">
        <v>63</v>
      </c>
      <c r="B36" s="76"/>
      <c r="C36" s="87"/>
      <c r="D36" s="83">
        <f>IF(D31-D32=32,16,IF(D35=32,D35/2,0))</f>
        <v>0</v>
      </c>
      <c r="E36" s="80"/>
      <c r="F36" s="79">
        <f t="shared" si="1"/>
        <v>0</v>
      </c>
      <c r="G36" s="79"/>
      <c r="H36" s="2"/>
      <c r="I36" s="79">
        <f t="shared" si="0"/>
        <v>0</v>
      </c>
      <c r="J36" s="169">
        <f t="shared" si="2"/>
        <v>0</v>
      </c>
      <c r="K36" s="170"/>
      <c r="L36" s="81">
        <f t="shared" si="3"/>
        <v>0</v>
      </c>
      <c r="N36" s="25"/>
      <c r="O36" s="25"/>
      <c r="P36" s="25"/>
    </row>
    <row r="37" spans="1:16" s="22" customFormat="1" ht="17.100000000000001" customHeight="1" x14ac:dyDescent="0.25">
      <c r="A37" s="88" t="s">
        <v>64</v>
      </c>
      <c r="B37" s="76"/>
      <c r="C37" s="87"/>
      <c r="D37" s="83">
        <f>IF(D31-D32=16,8,IF(D36=16,D36/2,0))</f>
        <v>0</v>
      </c>
      <c r="E37" s="80"/>
      <c r="F37" s="79">
        <f t="shared" si="1"/>
        <v>0</v>
      </c>
      <c r="G37" s="79"/>
      <c r="H37" s="2"/>
      <c r="I37" s="79">
        <f t="shared" si="0"/>
        <v>0</v>
      </c>
      <c r="J37" s="169">
        <f t="shared" si="2"/>
        <v>0</v>
      </c>
      <c r="K37" s="170"/>
      <c r="L37" s="81">
        <f t="shared" si="3"/>
        <v>0</v>
      </c>
      <c r="N37" s="25"/>
      <c r="O37" s="25"/>
      <c r="P37" s="25"/>
    </row>
    <row r="38" spans="1:16" s="22" customFormat="1" ht="17.100000000000001" customHeight="1" x14ac:dyDescent="0.25">
      <c r="A38" s="88" t="s">
        <v>65</v>
      </c>
      <c r="B38" s="76"/>
      <c r="C38" s="87"/>
      <c r="D38" s="83">
        <f>IF(D31-D32=8,4,IF(D37=8,D37/2,0))</f>
        <v>0</v>
      </c>
      <c r="E38" s="80"/>
      <c r="F38" s="79">
        <f t="shared" si="1"/>
        <v>0</v>
      </c>
      <c r="G38" s="79"/>
      <c r="H38" s="2"/>
      <c r="I38" s="79">
        <f t="shared" si="0"/>
        <v>0</v>
      </c>
      <c r="J38" s="169">
        <f t="shared" si="2"/>
        <v>0</v>
      </c>
      <c r="K38" s="170"/>
      <c r="L38" s="81">
        <f t="shared" si="3"/>
        <v>0</v>
      </c>
      <c r="N38" s="25"/>
      <c r="O38" s="25"/>
      <c r="P38" s="25"/>
    </row>
    <row r="39" spans="1:16" s="22" customFormat="1" ht="17.100000000000001" customHeight="1" x14ac:dyDescent="0.25">
      <c r="A39" s="88" t="s">
        <v>66</v>
      </c>
      <c r="B39" s="76"/>
      <c r="C39" s="87"/>
      <c r="D39" s="83">
        <f>IF(D31-D32=4,2,IF(D38=4,D38/2,0))</f>
        <v>0</v>
      </c>
      <c r="E39" s="80"/>
      <c r="F39" s="79">
        <f t="shared" si="1"/>
        <v>0</v>
      </c>
      <c r="G39" s="79"/>
      <c r="H39" s="2"/>
      <c r="I39" s="79">
        <f t="shared" si="0"/>
        <v>0</v>
      </c>
      <c r="J39" s="169">
        <f t="shared" si="2"/>
        <v>0</v>
      </c>
      <c r="K39" s="170"/>
      <c r="L39" s="81">
        <f t="shared" si="3"/>
        <v>0</v>
      </c>
      <c r="N39" s="25"/>
      <c r="O39" s="25"/>
      <c r="P39" s="25"/>
    </row>
    <row r="40" spans="1:16" s="22" customFormat="1" ht="17.100000000000001" customHeight="1" thickBot="1" x14ac:dyDescent="0.3">
      <c r="A40" s="89" t="s">
        <v>8</v>
      </c>
      <c r="B40" s="90"/>
      <c r="C40" s="91"/>
      <c r="D40" s="92">
        <f>IF(D31-D32=2,1,IF(D39=2,D39/2,0))</f>
        <v>0</v>
      </c>
      <c r="E40" s="93"/>
      <c r="F40" s="94">
        <f t="shared" si="1"/>
        <v>0</v>
      </c>
      <c r="G40" s="94"/>
      <c r="H40" s="3"/>
      <c r="I40" s="94">
        <f t="shared" si="0"/>
        <v>0</v>
      </c>
      <c r="J40" s="201">
        <f t="shared" si="2"/>
        <v>0</v>
      </c>
      <c r="K40" s="202"/>
      <c r="L40" s="95">
        <f t="shared" si="3"/>
        <v>0</v>
      </c>
      <c r="N40" s="25"/>
      <c r="O40" s="25"/>
      <c r="P40" s="25"/>
    </row>
    <row r="41" spans="1:16" s="22" customFormat="1" ht="24.9" customHeight="1" thickTop="1" thickBot="1" x14ac:dyDescent="0.3">
      <c r="A41" s="203" t="s">
        <v>69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N41" s="25"/>
      <c r="O41" s="25"/>
      <c r="P41" s="25"/>
    </row>
    <row r="42" spans="1:16" s="22" customFormat="1" ht="54.9" customHeight="1" thickTop="1" thickBot="1" x14ac:dyDescent="0.3">
      <c r="A42" s="153" t="s">
        <v>52</v>
      </c>
      <c r="B42" s="154"/>
      <c r="C42" s="155"/>
      <c r="D42" s="73" t="s">
        <v>53</v>
      </c>
      <c r="E42" s="73" t="s">
        <v>54</v>
      </c>
      <c r="F42" s="73" t="s">
        <v>55</v>
      </c>
      <c r="G42" s="73"/>
      <c r="H42" s="73" t="s">
        <v>54</v>
      </c>
      <c r="I42" s="73" t="s">
        <v>55</v>
      </c>
      <c r="J42" s="156" t="s">
        <v>56</v>
      </c>
      <c r="K42" s="157"/>
      <c r="L42" s="74" t="s">
        <v>57</v>
      </c>
      <c r="N42" s="25"/>
      <c r="O42" s="25"/>
      <c r="P42" s="25"/>
    </row>
    <row r="43" spans="1:16" s="22" customFormat="1" ht="17.100000000000001" customHeight="1" thickBot="1" x14ac:dyDescent="0.3">
      <c r="A43" s="75" t="s">
        <v>58</v>
      </c>
      <c r="B43" s="76"/>
      <c r="C43" s="77">
        <f>I62</f>
        <v>0</v>
      </c>
      <c r="D43" s="78">
        <f>IF(AND(K15&lt;&gt;"non",C43&lt;&gt;""),C43,"")</f>
        <v>0</v>
      </c>
      <c r="E43" s="79"/>
      <c r="F43" s="79"/>
      <c r="G43" s="79"/>
      <c r="H43" s="2"/>
      <c r="I43" s="79">
        <f>IF(AND(K15&lt;&gt;"non",D43&lt;&gt;""),D43*H43,"")</f>
        <v>0</v>
      </c>
      <c r="J43" s="169">
        <f>IF(AND(K15&lt;&gt;"non",L8&lt;&gt;""),L8-I43,"")</f>
        <v>0</v>
      </c>
      <c r="K43" s="170"/>
      <c r="L43" s="81">
        <f>IF(AND(K15&lt;&gt;"non",D43&lt;&gt;""),H43,"")</f>
        <v>0</v>
      </c>
      <c r="N43" s="25"/>
      <c r="O43" s="25"/>
      <c r="P43" s="25"/>
    </row>
    <row r="44" spans="1:16" s="22" customFormat="1" ht="17.100000000000001" customHeight="1" thickBot="1" x14ac:dyDescent="0.3">
      <c r="A44" s="75" t="s">
        <v>59</v>
      </c>
      <c r="B44" s="76"/>
      <c r="C44" s="96">
        <f>IF(K20="oui",ROUNDUP(J62/2,0),"")</f>
        <v>0</v>
      </c>
      <c r="D44" s="83">
        <f>IF(AND(K20&lt;&gt;"oui",C43&lt;&gt;""),ROUNDUP(C43/2,0),IF(AND(K20&lt;&gt;"non",C44&lt;&gt;""),C44,""))</f>
        <v>0</v>
      </c>
      <c r="E44" s="80"/>
      <c r="F44" s="79">
        <f>IF(D44&lt;&gt;"",D44*E44,"")</f>
        <v>0</v>
      </c>
      <c r="G44" s="79"/>
      <c r="H44" s="2"/>
      <c r="I44" s="79">
        <f>IF(D44&lt;&gt;"",D44*H44,"")</f>
        <v>0</v>
      </c>
      <c r="J44" s="169">
        <f>IF(AND(K15&lt;&gt;"non",J43&lt;&gt;""),J43-I44,IF(AND(L8&lt;&gt;"",I44&lt;&gt;""),L8-I44,""))</f>
        <v>0</v>
      </c>
      <c r="K44" s="170"/>
      <c r="L44" s="81">
        <f>IF(AND(K15&lt;&gt;"non",H44&lt;&gt;""),L43+H44,IF(AND(D44&lt;&gt;""),H44,""))</f>
        <v>0</v>
      </c>
      <c r="M44" s="85" t="s">
        <v>82</v>
      </c>
      <c r="N44" s="86">
        <f>J45</f>
        <v>0</v>
      </c>
      <c r="O44" s="25"/>
      <c r="P44" s="25"/>
    </row>
    <row r="45" spans="1:16" s="22" customFormat="1" ht="17.100000000000001" customHeight="1" x14ac:dyDescent="0.25">
      <c r="A45" s="75" t="s">
        <v>6</v>
      </c>
      <c r="B45" s="76"/>
      <c r="C45" s="97"/>
      <c r="D45" s="83">
        <f>IF(D44&gt;=256,D44-256,IF(D44&gt;=128,D44-128,IF(D44&gt;=64,D44-64,IF(D44&gt;=32,D44-32,IF(D44&gt;=16,D44-16,IF(D44&gt;=8,D44-8,IF(D44&gt;=4,D44-4,IF(D44&gt;=2,D44-2,))))))))</f>
        <v>0</v>
      </c>
      <c r="E45" s="80"/>
      <c r="F45" s="79">
        <f>IF(D45&lt;&gt;"",D45*E45,"")</f>
        <v>0</v>
      </c>
      <c r="G45" s="79"/>
      <c r="H45" s="2"/>
      <c r="I45" s="79">
        <f t="shared" ref="I45:I53" si="4">IF(D45&lt;&gt;"",D45*H45,"")</f>
        <v>0</v>
      </c>
      <c r="J45" s="169">
        <f>IF(AND(J44&lt;&gt;"",I45&lt;&gt;""),J44-I45,"")</f>
        <v>0</v>
      </c>
      <c r="K45" s="170"/>
      <c r="L45" s="81">
        <f>IF(AND(L44&lt;&gt;"",H45)&lt;&gt;"",L44+H45,"")</f>
        <v>0</v>
      </c>
      <c r="M45" s="208" t="s">
        <v>88</v>
      </c>
      <c r="N45" s="206">
        <f>COUNTIF(D46:D53,"&gt;0")</f>
        <v>0</v>
      </c>
      <c r="O45" s="25"/>
      <c r="P45" s="25"/>
    </row>
    <row r="46" spans="1:16" s="22" customFormat="1" ht="17.100000000000001" customHeight="1" thickBot="1" x14ac:dyDescent="0.3">
      <c r="A46" s="88" t="s">
        <v>60</v>
      </c>
      <c r="B46" s="76"/>
      <c r="C46" s="97"/>
      <c r="D46" s="83">
        <f>IF(D44-D45=256,256/2,0)</f>
        <v>0</v>
      </c>
      <c r="E46" s="80"/>
      <c r="F46" s="79">
        <f t="shared" ref="F46:F53" si="5">IF(D46&lt;&gt;"",D46*E46,"")</f>
        <v>0</v>
      </c>
      <c r="G46" s="79"/>
      <c r="H46" s="2"/>
      <c r="I46" s="79">
        <f t="shared" si="4"/>
        <v>0</v>
      </c>
      <c r="J46" s="169">
        <f t="shared" ref="J46:J53" si="6">IF(AND(J45&lt;&gt;"",I46&lt;&gt;""),J45-I46,"")</f>
        <v>0</v>
      </c>
      <c r="K46" s="170"/>
      <c r="L46" s="81">
        <f t="shared" ref="L46:L53" si="7">IF(AND(L45&lt;&gt;"",H46)&lt;&gt;"",L45+H46,"")</f>
        <v>0</v>
      </c>
      <c r="M46" s="209"/>
      <c r="N46" s="207"/>
      <c r="O46" s="25"/>
      <c r="P46" s="25"/>
    </row>
    <row r="47" spans="1:16" s="22" customFormat="1" ht="17.100000000000001" customHeight="1" x14ac:dyDescent="0.25">
      <c r="A47" s="88" t="s">
        <v>61</v>
      </c>
      <c r="B47" s="76"/>
      <c r="C47" s="97"/>
      <c r="D47" s="83">
        <f>IF(D44-D45=256,D46/2,IF(D44-D45=128,128/2,0))</f>
        <v>0</v>
      </c>
      <c r="E47" s="80"/>
      <c r="F47" s="79">
        <f t="shared" si="5"/>
        <v>0</v>
      </c>
      <c r="G47" s="79"/>
      <c r="H47" s="2"/>
      <c r="I47" s="79">
        <f t="shared" si="4"/>
        <v>0</v>
      </c>
      <c r="J47" s="169">
        <f t="shared" si="6"/>
        <v>0</v>
      </c>
      <c r="K47" s="170"/>
      <c r="L47" s="81">
        <f t="shared" si="7"/>
        <v>0</v>
      </c>
      <c r="M47" s="210" t="s">
        <v>87</v>
      </c>
      <c r="N47" s="167" t="e">
        <f>N44/N45</f>
        <v>#DIV/0!</v>
      </c>
      <c r="O47" s="25"/>
      <c r="P47" s="25"/>
    </row>
    <row r="48" spans="1:16" s="22" customFormat="1" ht="17.100000000000001" customHeight="1" thickBot="1" x14ac:dyDescent="0.3">
      <c r="A48" s="88" t="s">
        <v>62</v>
      </c>
      <c r="B48" s="76"/>
      <c r="C48" s="97"/>
      <c r="D48" s="83">
        <f>IF(D44-D45=64,32,IF(D47=64,D47/2,0))</f>
        <v>0</v>
      </c>
      <c r="E48" s="80"/>
      <c r="F48" s="79">
        <f t="shared" si="5"/>
        <v>0</v>
      </c>
      <c r="G48" s="79"/>
      <c r="H48" s="2"/>
      <c r="I48" s="79">
        <f t="shared" si="4"/>
        <v>0</v>
      </c>
      <c r="J48" s="169">
        <f t="shared" si="6"/>
        <v>0</v>
      </c>
      <c r="K48" s="170"/>
      <c r="L48" s="81">
        <f t="shared" si="7"/>
        <v>0</v>
      </c>
      <c r="M48" s="211"/>
      <c r="N48" s="168"/>
      <c r="O48" s="25"/>
      <c r="P48" s="25"/>
    </row>
    <row r="49" spans="1:16" s="22" customFormat="1" ht="17.100000000000001" customHeight="1" x14ac:dyDescent="0.25">
      <c r="A49" s="88" t="s">
        <v>63</v>
      </c>
      <c r="B49" s="76"/>
      <c r="C49" s="97"/>
      <c r="D49" s="83">
        <f>IF(D44-D45=32,16,IF(D48=32,D48/2,0))</f>
        <v>0</v>
      </c>
      <c r="E49" s="80"/>
      <c r="F49" s="79">
        <f t="shared" si="5"/>
        <v>0</v>
      </c>
      <c r="G49" s="79"/>
      <c r="H49" s="2"/>
      <c r="I49" s="79">
        <f t="shared" si="4"/>
        <v>0</v>
      </c>
      <c r="J49" s="169">
        <f t="shared" si="6"/>
        <v>0</v>
      </c>
      <c r="K49" s="170"/>
      <c r="L49" s="81">
        <f t="shared" si="7"/>
        <v>0</v>
      </c>
      <c r="N49" s="25"/>
      <c r="O49" s="25"/>
      <c r="P49" s="25"/>
    </row>
    <row r="50" spans="1:16" s="22" customFormat="1" ht="17.100000000000001" customHeight="1" x14ac:dyDescent="0.25">
      <c r="A50" s="88" t="s">
        <v>64</v>
      </c>
      <c r="B50" s="76"/>
      <c r="C50" s="97"/>
      <c r="D50" s="83">
        <f>IF(D44-D45=16,8,IF(D49=16,D49/2,0))</f>
        <v>0</v>
      </c>
      <c r="E50" s="80"/>
      <c r="F50" s="79">
        <f t="shared" si="5"/>
        <v>0</v>
      </c>
      <c r="G50" s="79"/>
      <c r="H50" s="2"/>
      <c r="I50" s="79">
        <f t="shared" si="4"/>
        <v>0</v>
      </c>
      <c r="J50" s="169">
        <f t="shared" si="6"/>
        <v>0</v>
      </c>
      <c r="K50" s="170"/>
      <c r="L50" s="81">
        <f t="shared" si="7"/>
        <v>0</v>
      </c>
      <c r="N50" s="25"/>
      <c r="O50" s="25"/>
      <c r="P50" s="25"/>
    </row>
    <row r="51" spans="1:16" s="22" customFormat="1" ht="17.100000000000001" customHeight="1" x14ac:dyDescent="0.25">
      <c r="A51" s="88" t="s">
        <v>65</v>
      </c>
      <c r="B51" s="76"/>
      <c r="C51" s="97"/>
      <c r="D51" s="83">
        <f>IF(D44-D45=8,4,IF(D50=8,D50/2,0))</f>
        <v>0</v>
      </c>
      <c r="E51" s="80"/>
      <c r="F51" s="79">
        <f t="shared" si="5"/>
        <v>0</v>
      </c>
      <c r="G51" s="79"/>
      <c r="H51" s="2"/>
      <c r="I51" s="79">
        <f t="shared" si="4"/>
        <v>0</v>
      </c>
      <c r="J51" s="169">
        <f t="shared" si="6"/>
        <v>0</v>
      </c>
      <c r="K51" s="170"/>
      <c r="L51" s="81">
        <f t="shared" si="7"/>
        <v>0</v>
      </c>
      <c r="N51" s="25"/>
      <c r="O51" s="25"/>
      <c r="P51" s="25"/>
    </row>
    <row r="52" spans="1:16" s="22" customFormat="1" ht="17.100000000000001" customHeight="1" x14ac:dyDescent="0.25">
      <c r="A52" s="88" t="s">
        <v>66</v>
      </c>
      <c r="B52" s="76"/>
      <c r="C52" s="97"/>
      <c r="D52" s="83">
        <f>IF(D44-D45=4,2,IF(D51=4,D51/2,0))</f>
        <v>0</v>
      </c>
      <c r="E52" s="80"/>
      <c r="F52" s="79">
        <f t="shared" si="5"/>
        <v>0</v>
      </c>
      <c r="G52" s="79"/>
      <c r="H52" s="2"/>
      <c r="I52" s="79">
        <f t="shared" si="4"/>
        <v>0</v>
      </c>
      <c r="J52" s="169">
        <f t="shared" si="6"/>
        <v>0</v>
      </c>
      <c r="K52" s="170"/>
      <c r="L52" s="81">
        <f t="shared" si="7"/>
        <v>0</v>
      </c>
      <c r="N52" s="25"/>
      <c r="O52" s="25"/>
      <c r="P52" s="25"/>
    </row>
    <row r="53" spans="1:16" s="22" customFormat="1" ht="17.100000000000001" customHeight="1" thickBot="1" x14ac:dyDescent="0.3">
      <c r="A53" s="89" t="s">
        <v>8</v>
      </c>
      <c r="B53" s="90"/>
      <c r="C53" s="98"/>
      <c r="D53" s="92">
        <f>IF(D44-D45=2,1,IF(D52=2,D52/2,0))</f>
        <v>0</v>
      </c>
      <c r="E53" s="93"/>
      <c r="F53" s="94">
        <f t="shared" si="5"/>
        <v>0</v>
      </c>
      <c r="G53" s="94"/>
      <c r="H53" s="3"/>
      <c r="I53" s="94">
        <f t="shared" si="4"/>
        <v>0</v>
      </c>
      <c r="J53" s="201">
        <f t="shared" si="6"/>
        <v>0</v>
      </c>
      <c r="K53" s="202"/>
      <c r="L53" s="95">
        <f t="shared" si="7"/>
        <v>0</v>
      </c>
      <c r="N53" s="25"/>
      <c r="O53" s="25"/>
      <c r="P53" s="25"/>
    </row>
    <row r="54" spans="1:16" s="22" customFormat="1" ht="17.100000000000001" customHeight="1" thickTop="1" x14ac:dyDescent="0.25">
      <c r="A54" s="99"/>
      <c r="B54" s="99"/>
      <c r="C54" s="100"/>
      <c r="F54" s="55"/>
      <c r="G54" s="51"/>
      <c r="H54" s="51"/>
      <c r="I54" s="65"/>
      <c r="J54" s="65"/>
      <c r="N54" s="25"/>
      <c r="O54" s="25"/>
      <c r="P54" s="25"/>
    </row>
    <row r="55" spans="1:16" s="22" customFormat="1" ht="17.25" hidden="1" customHeight="1" thickTop="1" x14ac:dyDescent="0.25">
      <c r="A55" s="101"/>
      <c r="B55" s="102">
        <f>EVEN(C10)</f>
        <v>0</v>
      </c>
      <c r="C55" s="103"/>
      <c r="D55" s="103"/>
      <c r="E55" s="103"/>
      <c r="F55" s="104"/>
      <c r="G55" s="105"/>
      <c r="H55" s="105"/>
      <c r="I55" s="106"/>
      <c r="J55" s="106"/>
      <c r="K55" s="103"/>
      <c r="N55" s="25"/>
      <c r="O55" s="25"/>
      <c r="P55" s="25"/>
    </row>
    <row r="56" spans="1:16" s="22" customFormat="1" ht="17.25" hidden="1" customHeight="1" x14ac:dyDescent="0.25">
      <c r="A56" s="101"/>
      <c r="B56" s="101"/>
      <c r="C56" s="103"/>
      <c r="D56" s="103"/>
      <c r="E56" s="103"/>
      <c r="F56" s="104"/>
      <c r="G56" s="105"/>
      <c r="H56" s="105"/>
      <c r="I56" s="106"/>
      <c r="J56" s="106"/>
      <c r="K56" s="103"/>
      <c r="N56" s="25"/>
      <c r="O56" s="25"/>
      <c r="P56" s="25"/>
    </row>
    <row r="57" spans="1:16" s="22" customFormat="1" ht="17.25" hidden="1" customHeight="1" x14ac:dyDescent="0.25">
      <c r="A57" s="102" t="s">
        <v>11</v>
      </c>
      <c r="B57" s="101">
        <f>SUM(B55/2)</f>
        <v>0</v>
      </c>
      <c r="C57" s="103"/>
      <c r="D57" s="103"/>
      <c r="E57" s="103"/>
      <c r="F57" s="104"/>
      <c r="G57" s="105"/>
      <c r="H57" s="105"/>
      <c r="I57" s="106"/>
      <c r="J57" s="106"/>
      <c r="K57" s="103"/>
      <c r="N57" s="25"/>
      <c r="O57" s="25"/>
      <c r="P57" s="25"/>
    </row>
    <row r="58" spans="1:16" ht="17.25" hidden="1" customHeight="1" x14ac:dyDescent="0.25">
      <c r="A58" s="107" t="s">
        <v>30</v>
      </c>
      <c r="B58" s="101">
        <f>SUM(B57/2)</f>
        <v>0</v>
      </c>
      <c r="C58" s="108">
        <f>FLOOR(B58,1)</f>
        <v>0</v>
      </c>
      <c r="D58" s="109"/>
      <c r="E58" s="109"/>
      <c r="F58" s="109"/>
      <c r="G58" s="109"/>
      <c r="H58" s="109"/>
      <c r="I58" s="109"/>
      <c r="J58" s="109"/>
      <c r="K58" s="109"/>
    </row>
    <row r="59" spans="1:16" ht="17.25" hidden="1" customHeight="1" x14ac:dyDescent="0.25">
      <c r="A59" s="109"/>
      <c r="B59" s="109"/>
      <c r="C59" s="110"/>
      <c r="D59" s="110"/>
      <c r="E59" s="111"/>
      <c r="F59" s="111"/>
      <c r="G59" s="111"/>
      <c r="H59" s="111"/>
      <c r="I59" s="111"/>
      <c r="J59" s="109"/>
      <c r="K59" s="109"/>
    </row>
    <row r="60" spans="1:16" ht="13.5" hidden="1" customHeight="1" x14ac:dyDescent="0.25">
      <c r="A60" s="109"/>
      <c r="B60" s="109"/>
      <c r="C60" s="101"/>
      <c r="D60" s="109"/>
      <c r="E60" s="101"/>
      <c r="F60" s="101"/>
      <c r="G60" s="101"/>
      <c r="H60" s="101"/>
      <c r="I60" s="109" t="s">
        <v>23</v>
      </c>
      <c r="J60" s="109" t="s">
        <v>24</v>
      </c>
      <c r="K60" s="109"/>
    </row>
    <row r="61" spans="1:16" ht="13.5" hidden="1" customHeight="1" x14ac:dyDescent="0.25">
      <c r="A61" s="109"/>
      <c r="B61" s="109"/>
      <c r="C61" s="112" t="s">
        <v>21</v>
      </c>
      <c r="D61" s="112" t="s">
        <v>26</v>
      </c>
      <c r="E61" s="112"/>
      <c r="F61" s="101"/>
      <c r="G61" s="101"/>
      <c r="H61" s="101"/>
      <c r="I61" s="109" t="s">
        <v>22</v>
      </c>
      <c r="J61" s="109" t="s">
        <v>25</v>
      </c>
      <c r="K61" s="109"/>
    </row>
    <row r="62" spans="1:16" ht="16.5" hidden="1" customHeight="1" x14ac:dyDescent="0.25">
      <c r="A62" s="110" t="s">
        <v>7</v>
      </c>
      <c r="B62" s="112">
        <f>SUM(C10/2)</f>
        <v>0</v>
      </c>
      <c r="C62" s="101">
        <f>FLOOR(B62,1)</f>
        <v>0</v>
      </c>
      <c r="D62" s="101">
        <f>SUM(C62+D10)</f>
        <v>0</v>
      </c>
      <c r="E62" s="101">
        <f>SUM(D62/2)</f>
        <v>0</v>
      </c>
      <c r="F62" s="101"/>
      <c r="G62" s="101"/>
      <c r="H62" s="101"/>
      <c r="I62" s="101">
        <f>CEILING(E62,1)</f>
        <v>0</v>
      </c>
      <c r="J62" s="101">
        <f>SUM(C58+I62)</f>
        <v>0</v>
      </c>
      <c r="K62" s="109"/>
    </row>
    <row r="63" spans="1:16" ht="13.5" hidden="1" customHeight="1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</row>
    <row r="65" spans="2:4" x14ac:dyDescent="0.25">
      <c r="B65" s="144"/>
      <c r="C65" s="144"/>
      <c r="D65" s="144"/>
    </row>
    <row r="66" spans="2:4" x14ac:dyDescent="0.25">
      <c r="B66" s="144"/>
      <c r="C66" s="144"/>
      <c r="D66" s="144"/>
    </row>
  </sheetData>
  <sheetProtection sheet="1" selectLockedCells="1"/>
  <mergeCells count="77">
    <mergeCell ref="M32:M33"/>
    <mergeCell ref="N32:N33"/>
    <mergeCell ref="M45:M46"/>
    <mergeCell ref="N45:N46"/>
    <mergeCell ref="J53:K53"/>
    <mergeCell ref="J46:K46"/>
    <mergeCell ref="J52:K52"/>
    <mergeCell ref="J50:K50"/>
    <mergeCell ref="J51:K51"/>
    <mergeCell ref="J47:K47"/>
    <mergeCell ref="J48:K48"/>
    <mergeCell ref="J49:K49"/>
    <mergeCell ref="J33:K33"/>
    <mergeCell ref="N47:N48"/>
    <mergeCell ref="M34:M35"/>
    <mergeCell ref="M47:M48"/>
    <mergeCell ref="J7:K7"/>
    <mergeCell ref="J8:K8"/>
    <mergeCell ref="J43:K43"/>
    <mergeCell ref="J44:K44"/>
    <mergeCell ref="J45:K45"/>
    <mergeCell ref="J39:K39"/>
    <mergeCell ref="J40:K40"/>
    <mergeCell ref="A41:L41"/>
    <mergeCell ref="A29:C29"/>
    <mergeCell ref="J34:K34"/>
    <mergeCell ref="J35:K35"/>
    <mergeCell ref="J38:K38"/>
    <mergeCell ref="A28:L28"/>
    <mergeCell ref="J36:K36"/>
    <mergeCell ref="J37:K37"/>
    <mergeCell ref="J32:K32"/>
    <mergeCell ref="A14:A16"/>
    <mergeCell ref="D14:D16"/>
    <mergeCell ref="B19:C20"/>
    <mergeCell ref="N10:N11"/>
    <mergeCell ref="M10:M11"/>
    <mergeCell ref="J10:L11"/>
    <mergeCell ref="H11:I11"/>
    <mergeCell ref="H9:I10"/>
    <mergeCell ref="B10:B12"/>
    <mergeCell ref="A19:A20"/>
    <mergeCell ref="K20:K22"/>
    <mergeCell ref="J9:L9"/>
    <mergeCell ref="C14:C16"/>
    <mergeCell ref="B65:D66"/>
    <mergeCell ref="N22:N27"/>
    <mergeCell ref="H12:I12"/>
    <mergeCell ref="K15:K17"/>
    <mergeCell ref="N18:N20"/>
    <mergeCell ref="A42:C42"/>
    <mergeCell ref="J42:K42"/>
    <mergeCell ref="J30:K30"/>
    <mergeCell ref="J22:J27"/>
    <mergeCell ref="A10:A12"/>
    <mergeCell ref="C10:C12"/>
    <mergeCell ref="D10:D12"/>
    <mergeCell ref="J29:K29"/>
    <mergeCell ref="M29:N30"/>
    <mergeCell ref="N34:N35"/>
    <mergeCell ref="J31:K31"/>
    <mergeCell ref="M6:O7"/>
    <mergeCell ref="N9:O9"/>
    <mergeCell ref="A1:L1"/>
    <mergeCell ref="B22:C23"/>
    <mergeCell ref="A25:A26"/>
    <mergeCell ref="B25:C26"/>
    <mergeCell ref="A22:A23"/>
    <mergeCell ref="J18:J20"/>
    <mergeCell ref="H3:I3"/>
    <mergeCell ref="H4:I4"/>
    <mergeCell ref="J6:L6"/>
    <mergeCell ref="K24:L24"/>
    <mergeCell ref="L15:L17"/>
    <mergeCell ref="L20:L22"/>
    <mergeCell ref="H7:I7"/>
    <mergeCell ref="A8:D8"/>
  </mergeCells>
  <phoneticPr fontId="0" type="noConversion"/>
  <conditionalFormatting sqref="B6">
    <cfRule type="expression" dxfId="18" priority="21" stopIfTrue="1">
      <formula>$C$6="15"</formula>
    </cfRule>
  </conditionalFormatting>
  <conditionalFormatting sqref="B6:C6">
    <cfRule type="expression" dxfId="17" priority="5" stopIfTrue="1">
      <formula>$C$6=5</formula>
    </cfRule>
    <cfRule type="expression" dxfId="16" priority="6" stopIfTrue="1">
      <formula>$C$6=10</formula>
    </cfRule>
    <cfRule type="expression" dxfId="15" priority="7" stopIfTrue="1">
      <formula>$C$6=15</formula>
    </cfRule>
  </conditionalFormatting>
  <conditionalFormatting sqref="D30 D43 C44">
    <cfRule type="containsBlanks" dxfId="14" priority="48" stopIfTrue="1">
      <formula>LEN(TRIM(C30))=0</formula>
    </cfRule>
  </conditionalFormatting>
  <conditionalFormatting sqref="D30 D43">
    <cfRule type="expression" dxfId="13" priority="28" stopIfTrue="1">
      <formula>$K$15="oui"</formula>
    </cfRule>
  </conditionalFormatting>
  <conditionalFormatting sqref="H30 H43">
    <cfRule type="expression" dxfId="12" priority="29" stopIfTrue="1">
      <formula>$K$15="non"</formula>
    </cfRule>
    <cfRule type="cellIs" dxfId="11" priority="47" stopIfTrue="1" operator="lessThan">
      <formula>0</formula>
    </cfRule>
  </conditionalFormatting>
  <conditionalFormatting sqref="I30:L30 I43 L43">
    <cfRule type="containsBlanks" dxfId="10" priority="45" stopIfTrue="1">
      <formula>LEN(TRIM(I30))=0</formula>
    </cfRule>
  </conditionalFormatting>
  <conditionalFormatting sqref="J30:K30">
    <cfRule type="expression" dxfId="9" priority="30" stopIfTrue="1">
      <formula>$K$15="oui"</formula>
    </cfRule>
    <cfRule type="expression" dxfId="8" priority="31" stopIfTrue="1">
      <formula>$K$15="oui"</formula>
    </cfRule>
    <cfRule type="cellIs" dxfId="7" priority="46" stopIfTrue="1" operator="equal">
      <formula>0</formula>
    </cfRule>
  </conditionalFormatting>
  <conditionalFormatting sqref="J30:K40 J43:K53">
    <cfRule type="cellIs" dxfId="6" priority="1" operator="lessThan">
      <formula>-5</formula>
    </cfRule>
  </conditionalFormatting>
  <conditionalFormatting sqref="J30:K40">
    <cfRule type="cellIs" dxfId="5" priority="4" operator="lessThan">
      <formula>-10</formula>
    </cfRule>
  </conditionalFormatting>
  <conditionalFormatting sqref="J43:K53">
    <cfRule type="cellIs" dxfId="4" priority="2" operator="lessThan">
      <formula>-10</formula>
    </cfRule>
  </conditionalFormatting>
  <conditionalFormatting sqref="K15:K17">
    <cfRule type="cellIs" dxfId="3" priority="51" stopIfTrue="1" operator="equal">
      <formula>"oui"</formula>
    </cfRule>
    <cfRule type="cellIs" dxfId="2" priority="52" stopIfTrue="1" operator="equal">
      <formula>"NON"</formula>
    </cfRule>
  </conditionalFormatting>
  <conditionalFormatting sqref="K20">
    <cfRule type="cellIs" dxfId="1" priority="57" stopIfTrue="1" operator="equal">
      <formula>"OUI"</formula>
    </cfRule>
    <cfRule type="cellIs" dxfId="0" priority="58" stopIfTrue="1" operator="equal">
      <formula>0</formula>
    </cfRule>
  </conditionalFormatting>
  <dataValidations count="2">
    <dataValidation type="custom" showInputMessage="1" showErrorMessage="1" sqref="H32" xr:uid="{BDF90490-78B1-49E1-A04F-8900FBDBD7E8}">
      <formula1>D32&gt;0</formula1>
    </dataValidation>
    <dataValidation type="custom" showInputMessage="1" showErrorMessage="1" error="Pas d'équipes à indemniser" sqref="H33:H40 H45:H51" xr:uid="{FB7FDC20-6C6F-4C4C-8717-A880AFECCB90}">
      <formula1>D33&gt;0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73" orientation="portrait" r:id="rId1"/>
  <headerFooter alignWithMargins="0"/>
  <rowBreaks count="1" manualBreakCount="1">
    <brk id="2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Spinner 8">
              <controlPr defaultSize="0" print="0" autoPict="0">
                <anchor moveWithCells="1" sizeWithCells="1">
                  <from>
                    <xdr:col>0</xdr:col>
                    <xdr:colOff>426720</xdr:colOff>
                    <xdr:row>3</xdr:row>
                    <xdr:rowOff>0</xdr:rowOff>
                  </from>
                  <to>
                    <xdr:col>0</xdr:col>
                    <xdr:colOff>1074420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Spinner 24">
              <controlPr defaultSize="0" print="0" autoPict="0">
                <anchor moveWithCells="1" sizeWithCells="1">
                  <from>
                    <xdr:col>11</xdr:col>
                    <xdr:colOff>160020</xdr:colOff>
                    <xdr:row>11</xdr:row>
                    <xdr:rowOff>68580</xdr:rowOff>
                  </from>
                  <to>
                    <xdr:col>11</xdr:col>
                    <xdr:colOff>579120</xdr:colOff>
                    <xdr:row>13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" name="Spinner 51">
              <controlPr defaultSize="0" print="0" autoPict="0">
                <anchor moveWithCells="1" sizeWithCells="1">
                  <from>
                    <xdr:col>9</xdr:col>
                    <xdr:colOff>190500</xdr:colOff>
                    <xdr:row>14</xdr:row>
                    <xdr:rowOff>0</xdr:rowOff>
                  </from>
                  <to>
                    <xdr:col>10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" name="Spinner 81">
              <controlPr defaultSize="0" print="0" autoPict="0">
                <anchor moveWithCells="1" sizeWithCells="1">
                  <from>
                    <xdr:col>9</xdr:col>
                    <xdr:colOff>190500</xdr:colOff>
                    <xdr:row>18</xdr:row>
                    <xdr:rowOff>190500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E3FA-3D3F-4250-9453-60CFDA16C363}">
  <dimension ref="A9:J70"/>
  <sheetViews>
    <sheetView workbookViewId="0">
      <selection activeCell="N17" sqref="N17"/>
    </sheetView>
  </sheetViews>
  <sheetFormatPr baseColWidth="10" defaultRowHeight="14.4" x14ac:dyDescent="0.3"/>
  <cols>
    <col min="1" max="1" width="33.6640625" style="115" customWidth="1"/>
    <col min="2" max="16384" width="11.5546875" style="115"/>
  </cols>
  <sheetData>
    <row r="9" spans="1:10" ht="58.2" customHeight="1" x14ac:dyDescent="1">
      <c r="A9" s="213" t="s">
        <v>92</v>
      </c>
      <c r="B9" s="213"/>
      <c r="C9" s="213"/>
      <c r="D9" s="213"/>
      <c r="E9" s="213"/>
      <c r="F9" s="213"/>
      <c r="G9" s="213"/>
      <c r="H9" s="213"/>
      <c r="I9" s="213"/>
      <c r="J9" s="213"/>
    </row>
    <row r="10" spans="1:10" ht="42.6" customHeight="1" x14ac:dyDescent="1.45">
      <c r="A10" s="121" t="s">
        <v>91</v>
      </c>
      <c r="B10" s="217"/>
      <c r="C10" s="217"/>
      <c r="D10" s="217"/>
      <c r="E10" s="217"/>
      <c r="F10" s="217"/>
      <c r="G10" s="217"/>
      <c r="H10" s="217"/>
      <c r="I10" s="217"/>
      <c r="J10" s="120"/>
    </row>
    <row r="11" spans="1:10" ht="16.8" customHeight="1" x14ac:dyDescent="1.45">
      <c r="A11" s="120"/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0" ht="42" customHeight="1" x14ac:dyDescent="0.3">
      <c r="A12" s="119" t="s">
        <v>93</v>
      </c>
      <c r="B12" s="214"/>
      <c r="C12" s="215"/>
      <c r="D12" s="215"/>
      <c r="E12" s="215"/>
      <c r="F12" s="215"/>
      <c r="G12" s="215"/>
      <c r="H12" s="215"/>
      <c r="I12" s="216"/>
      <c r="J12" s="116"/>
    </row>
    <row r="13" spans="1:10" ht="20.399999999999999" x14ac:dyDescent="0.3">
      <c r="A13" s="118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0" ht="33" customHeight="1" x14ac:dyDescent="0.3">
      <c r="A14" s="118" t="s">
        <v>90</v>
      </c>
      <c r="B14" s="212"/>
      <c r="C14" s="212"/>
      <c r="D14" s="212"/>
      <c r="E14" s="212"/>
      <c r="F14" s="212"/>
      <c r="G14" s="212"/>
      <c r="H14" s="212"/>
      <c r="I14" s="212"/>
      <c r="J14" s="116"/>
    </row>
    <row r="15" spans="1:10" ht="20.399999999999999" x14ac:dyDescent="0.35">
      <c r="A15" s="117"/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 ht="33" customHeight="1" x14ac:dyDescent="0.35">
      <c r="A16" s="117"/>
      <c r="B16" s="212"/>
      <c r="C16" s="212"/>
      <c r="D16" s="212"/>
      <c r="E16" s="212"/>
      <c r="F16" s="212"/>
      <c r="G16" s="212"/>
      <c r="H16" s="212"/>
      <c r="I16" s="212"/>
      <c r="J16" s="116"/>
    </row>
    <row r="17" spans="1:10" ht="20.399999999999999" x14ac:dyDescent="0.35">
      <c r="A17" s="117"/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 ht="33" customHeight="1" x14ac:dyDescent="0.35">
      <c r="A18" s="117"/>
      <c r="B18" s="212"/>
      <c r="C18" s="212"/>
      <c r="D18" s="212"/>
      <c r="E18" s="212"/>
      <c r="F18" s="212"/>
      <c r="G18" s="212"/>
      <c r="H18" s="212"/>
      <c r="I18" s="212"/>
      <c r="J18" s="116"/>
    </row>
    <row r="19" spans="1:10" ht="20.399999999999999" x14ac:dyDescent="0.35">
      <c r="A19" s="117"/>
      <c r="B19" s="116"/>
      <c r="C19" s="116"/>
      <c r="D19" s="116"/>
      <c r="E19" s="116"/>
      <c r="F19" s="116"/>
      <c r="G19" s="116"/>
      <c r="H19" s="116"/>
      <c r="I19" s="116"/>
      <c r="J19" s="116"/>
    </row>
    <row r="20" spans="1:10" ht="37.200000000000003" customHeight="1" x14ac:dyDescent="0.35">
      <c r="A20" s="117" t="s">
        <v>89</v>
      </c>
      <c r="B20" s="212"/>
      <c r="C20" s="212"/>
      <c r="D20" s="212"/>
      <c r="E20" s="212"/>
      <c r="F20" s="212"/>
      <c r="G20" s="212"/>
      <c r="H20" s="212"/>
      <c r="I20" s="212"/>
      <c r="J20" s="116"/>
    </row>
    <row r="21" spans="1:10" x14ac:dyDescent="0.3">
      <c r="A21" s="116"/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0" x14ac:dyDescent="0.3">
      <c r="A22" s="116"/>
      <c r="B22" s="116"/>
      <c r="C22" s="116"/>
      <c r="D22" s="116"/>
      <c r="E22" s="116"/>
      <c r="F22" s="116"/>
      <c r="G22" s="116"/>
      <c r="H22" s="116"/>
      <c r="I22" s="116"/>
      <c r="J22" s="116"/>
    </row>
    <row r="23" spans="1:10" x14ac:dyDescent="0.3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0" x14ac:dyDescent="0.3">
      <c r="A24" s="116"/>
      <c r="B24" s="116"/>
      <c r="C24" s="116"/>
      <c r="D24" s="116"/>
      <c r="E24" s="116"/>
      <c r="F24" s="116"/>
      <c r="G24" s="116"/>
      <c r="H24" s="116"/>
      <c r="I24" s="116"/>
      <c r="J24" s="116"/>
    </row>
    <row r="25" spans="1:10" x14ac:dyDescent="0.3">
      <c r="A25" s="116"/>
      <c r="B25" s="116"/>
      <c r="C25" s="116"/>
      <c r="D25" s="116"/>
      <c r="E25" s="116"/>
      <c r="F25" s="116"/>
      <c r="G25" s="116"/>
      <c r="H25" s="116"/>
      <c r="I25" s="116"/>
      <c r="J25" s="116"/>
    </row>
    <row r="26" spans="1:10" x14ac:dyDescent="0.3">
      <c r="A26" s="116"/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0" x14ac:dyDescent="0.3">
      <c r="A27" s="116"/>
      <c r="B27" s="116"/>
      <c r="C27" s="116"/>
      <c r="D27" s="116"/>
      <c r="E27" s="116"/>
      <c r="F27" s="116"/>
      <c r="G27" s="116"/>
      <c r="H27" s="116"/>
      <c r="I27" s="116"/>
      <c r="J27" s="116"/>
    </row>
    <row r="28" spans="1:10" x14ac:dyDescent="0.3">
      <c r="A28" s="116"/>
      <c r="B28" s="116"/>
      <c r="C28" s="116"/>
      <c r="D28" s="116"/>
      <c r="E28" s="116"/>
      <c r="F28" s="116"/>
      <c r="G28" s="116"/>
      <c r="H28" s="116"/>
      <c r="I28" s="116"/>
      <c r="J28" s="116"/>
    </row>
    <row r="29" spans="1:10" x14ac:dyDescent="0.3">
      <c r="A29" s="116"/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0" x14ac:dyDescent="0.3">
      <c r="A30" s="116"/>
      <c r="B30" s="116"/>
      <c r="C30" s="116"/>
      <c r="D30" s="116"/>
      <c r="E30" s="116"/>
      <c r="F30" s="116"/>
      <c r="G30" s="116"/>
      <c r="H30" s="116"/>
      <c r="I30" s="116"/>
      <c r="J30" s="116"/>
    </row>
    <row r="31" spans="1:10" x14ac:dyDescent="0.3">
      <c r="A31" s="116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x14ac:dyDescent="0.3">
      <c r="A32" s="116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0" x14ac:dyDescent="0.3">
      <c r="A33" s="116"/>
      <c r="B33" s="116"/>
      <c r="C33" s="116"/>
      <c r="D33" s="116"/>
      <c r="E33" s="116"/>
      <c r="F33" s="116"/>
      <c r="G33" s="116"/>
      <c r="H33" s="116"/>
      <c r="I33" s="116"/>
      <c r="J33" s="116"/>
    </row>
    <row r="34" spans="1:10" x14ac:dyDescent="0.3">
      <c r="A34" s="116"/>
      <c r="B34" s="116"/>
      <c r="C34" s="116"/>
      <c r="D34" s="116"/>
      <c r="E34" s="116"/>
      <c r="F34" s="116"/>
      <c r="G34" s="116"/>
      <c r="H34" s="116"/>
      <c r="I34" s="116"/>
      <c r="J34" s="116"/>
    </row>
    <row r="35" spans="1:10" x14ac:dyDescent="0.3">
      <c r="A35" s="116"/>
      <c r="B35" s="116"/>
      <c r="C35" s="116"/>
      <c r="D35" s="116"/>
      <c r="E35" s="116"/>
      <c r="F35" s="116"/>
      <c r="G35" s="116"/>
      <c r="H35" s="116"/>
      <c r="I35" s="116"/>
      <c r="J35" s="116"/>
    </row>
    <row r="36" spans="1:10" x14ac:dyDescent="0.3">
      <c r="A36" s="116"/>
      <c r="B36" s="116"/>
      <c r="C36" s="116"/>
      <c r="D36" s="116"/>
      <c r="E36" s="116"/>
      <c r="F36" s="116"/>
      <c r="G36" s="116"/>
      <c r="H36" s="116"/>
      <c r="I36" s="116"/>
      <c r="J36" s="116"/>
    </row>
    <row r="37" spans="1:10" x14ac:dyDescent="0.3">
      <c r="A37" s="116"/>
      <c r="B37" s="116"/>
      <c r="C37" s="116"/>
      <c r="D37" s="116"/>
      <c r="E37" s="116"/>
      <c r="F37" s="116"/>
      <c r="G37" s="116"/>
      <c r="H37" s="116"/>
      <c r="I37" s="116"/>
      <c r="J37" s="116"/>
    </row>
    <row r="38" spans="1:10" x14ac:dyDescent="0.3">
      <c r="A38" s="116"/>
      <c r="B38" s="116"/>
      <c r="C38" s="116"/>
      <c r="D38" s="116"/>
      <c r="E38" s="116"/>
      <c r="F38" s="116"/>
      <c r="G38" s="116"/>
      <c r="H38" s="116"/>
      <c r="I38" s="116"/>
      <c r="J38" s="116"/>
    </row>
    <row r="39" spans="1:10" x14ac:dyDescent="0.3">
      <c r="A39" s="116"/>
      <c r="B39" s="116"/>
      <c r="C39" s="116"/>
      <c r="D39" s="116"/>
      <c r="E39" s="116"/>
      <c r="F39" s="116"/>
      <c r="G39" s="116"/>
      <c r="H39" s="116"/>
      <c r="I39" s="116"/>
      <c r="J39" s="116"/>
    </row>
    <row r="40" spans="1:10" x14ac:dyDescent="0.3">
      <c r="A40" s="116"/>
      <c r="B40" s="116"/>
      <c r="C40" s="116"/>
      <c r="D40" s="116"/>
      <c r="E40" s="116"/>
      <c r="F40" s="116"/>
      <c r="G40" s="116"/>
      <c r="H40" s="116"/>
      <c r="I40" s="116"/>
      <c r="J40" s="116"/>
    </row>
    <row r="41" spans="1:10" x14ac:dyDescent="0.3">
      <c r="A41" s="116"/>
      <c r="B41" s="116"/>
      <c r="C41" s="116"/>
      <c r="D41" s="116"/>
      <c r="E41" s="116"/>
      <c r="F41" s="116"/>
      <c r="G41" s="116"/>
      <c r="H41" s="116"/>
      <c r="I41" s="116"/>
      <c r="J41" s="116"/>
    </row>
    <row r="42" spans="1:10" x14ac:dyDescent="0.3">
      <c r="A42" s="116"/>
      <c r="B42" s="116"/>
      <c r="C42" s="116"/>
      <c r="D42" s="116"/>
      <c r="E42" s="116"/>
      <c r="F42" s="116"/>
      <c r="G42" s="116"/>
      <c r="H42" s="116"/>
      <c r="I42" s="116"/>
      <c r="J42" s="116"/>
    </row>
    <row r="43" spans="1:10" x14ac:dyDescent="0.3">
      <c r="A43" s="116"/>
      <c r="B43" s="116"/>
      <c r="C43" s="116"/>
      <c r="D43" s="116"/>
      <c r="E43" s="116"/>
      <c r="F43" s="116"/>
      <c r="G43" s="116"/>
      <c r="H43" s="116"/>
      <c r="I43" s="116"/>
      <c r="J43" s="116"/>
    </row>
    <row r="44" spans="1:10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</row>
    <row r="45" spans="1:10" x14ac:dyDescent="0.3">
      <c r="A45" s="116"/>
      <c r="B45" s="116"/>
      <c r="C45" s="116"/>
      <c r="D45" s="116"/>
      <c r="E45" s="116"/>
      <c r="F45" s="116"/>
      <c r="G45" s="116"/>
      <c r="H45" s="116"/>
      <c r="I45" s="116"/>
      <c r="J45" s="116"/>
    </row>
    <row r="46" spans="1:10" x14ac:dyDescent="0.3">
      <c r="A46" s="116"/>
      <c r="B46" s="116"/>
      <c r="C46" s="116"/>
      <c r="D46" s="116"/>
      <c r="E46" s="116"/>
      <c r="F46" s="116"/>
      <c r="G46" s="116"/>
      <c r="H46" s="116"/>
      <c r="I46" s="116"/>
      <c r="J46" s="116"/>
    </row>
    <row r="47" spans="1:10" x14ac:dyDescent="0.3">
      <c r="A47" s="116"/>
      <c r="B47" s="116"/>
      <c r="C47" s="116"/>
      <c r="D47" s="116"/>
      <c r="E47" s="116"/>
      <c r="F47" s="116"/>
      <c r="G47" s="116"/>
      <c r="H47" s="116"/>
      <c r="I47" s="116"/>
      <c r="J47" s="116"/>
    </row>
    <row r="48" spans="1:10" x14ac:dyDescent="0.3">
      <c r="A48" s="116"/>
      <c r="B48" s="116"/>
      <c r="C48" s="116"/>
      <c r="D48" s="116"/>
      <c r="E48" s="116"/>
      <c r="F48" s="116"/>
      <c r="G48" s="116"/>
      <c r="H48" s="116"/>
      <c r="I48" s="116"/>
      <c r="J48" s="116"/>
    </row>
    <row r="49" spans="1:10" x14ac:dyDescent="0.3">
      <c r="A49" s="116"/>
      <c r="B49" s="116"/>
      <c r="C49" s="116"/>
      <c r="D49" s="116"/>
      <c r="E49" s="116"/>
      <c r="F49" s="116"/>
      <c r="G49" s="116"/>
      <c r="H49" s="116"/>
      <c r="I49" s="116"/>
      <c r="J49" s="116"/>
    </row>
    <row r="50" spans="1:10" x14ac:dyDescent="0.3">
      <c r="A50" s="116"/>
      <c r="B50" s="116"/>
      <c r="C50" s="116"/>
      <c r="D50" s="116"/>
      <c r="E50" s="116"/>
      <c r="F50" s="116"/>
      <c r="G50" s="116"/>
      <c r="H50" s="116"/>
      <c r="I50" s="116"/>
      <c r="J50" s="116"/>
    </row>
    <row r="51" spans="1:10" x14ac:dyDescent="0.3">
      <c r="A51" s="116"/>
      <c r="B51" s="116"/>
      <c r="C51" s="116"/>
      <c r="D51" s="116"/>
      <c r="E51" s="116"/>
      <c r="F51" s="116"/>
      <c r="G51" s="116"/>
      <c r="H51" s="116"/>
      <c r="I51" s="116"/>
      <c r="J51" s="116"/>
    </row>
    <row r="52" spans="1:10" x14ac:dyDescent="0.3">
      <c r="A52" s="116"/>
      <c r="B52" s="116"/>
      <c r="C52" s="116"/>
      <c r="D52" s="116"/>
      <c r="E52" s="116"/>
      <c r="F52" s="116"/>
      <c r="G52" s="116"/>
      <c r="H52" s="116"/>
      <c r="I52" s="116"/>
      <c r="J52" s="116"/>
    </row>
    <row r="53" spans="1:10" x14ac:dyDescent="0.3">
      <c r="A53" s="116"/>
      <c r="B53" s="116"/>
      <c r="C53" s="116"/>
      <c r="D53" s="116"/>
      <c r="E53" s="116"/>
      <c r="F53" s="116"/>
      <c r="G53" s="116"/>
      <c r="H53" s="116"/>
      <c r="I53" s="116"/>
      <c r="J53" s="116"/>
    </row>
    <row r="54" spans="1:10" x14ac:dyDescent="0.3">
      <c r="A54" s="116"/>
      <c r="B54" s="116"/>
      <c r="C54" s="116"/>
      <c r="D54" s="116"/>
      <c r="E54" s="116"/>
      <c r="F54" s="116"/>
      <c r="G54" s="116"/>
      <c r="H54" s="116"/>
      <c r="I54" s="116"/>
      <c r="J54" s="116"/>
    </row>
    <row r="55" spans="1:10" x14ac:dyDescent="0.3">
      <c r="A55" s="116"/>
      <c r="B55" s="116"/>
      <c r="C55" s="116"/>
      <c r="D55" s="116"/>
      <c r="E55" s="116"/>
      <c r="F55" s="116"/>
      <c r="G55" s="116"/>
      <c r="H55" s="116"/>
      <c r="I55" s="116"/>
      <c r="J55" s="116"/>
    </row>
    <row r="56" spans="1:10" x14ac:dyDescent="0.3">
      <c r="A56" s="116"/>
      <c r="B56" s="116"/>
      <c r="C56" s="116"/>
      <c r="D56" s="116"/>
      <c r="E56" s="116"/>
      <c r="F56" s="116"/>
      <c r="G56" s="116"/>
      <c r="H56" s="116"/>
      <c r="I56" s="116"/>
      <c r="J56" s="116"/>
    </row>
    <row r="57" spans="1:10" x14ac:dyDescent="0.3">
      <c r="A57" s="116"/>
      <c r="B57" s="116"/>
      <c r="C57" s="116"/>
      <c r="D57" s="116"/>
      <c r="E57" s="116"/>
      <c r="F57" s="116"/>
      <c r="G57" s="116"/>
      <c r="H57" s="116"/>
      <c r="I57" s="116"/>
      <c r="J57" s="116"/>
    </row>
    <row r="58" spans="1:10" x14ac:dyDescent="0.3">
      <c r="A58" s="116"/>
      <c r="B58" s="116"/>
      <c r="C58" s="116"/>
      <c r="D58" s="116"/>
      <c r="E58" s="116"/>
      <c r="F58" s="116"/>
      <c r="G58" s="116"/>
      <c r="H58" s="116"/>
      <c r="I58" s="116"/>
      <c r="J58" s="116"/>
    </row>
    <row r="59" spans="1:10" x14ac:dyDescent="0.3">
      <c r="A59" s="116"/>
      <c r="B59" s="116"/>
      <c r="C59" s="116"/>
      <c r="D59" s="116"/>
      <c r="E59" s="116"/>
      <c r="F59" s="116"/>
      <c r="G59" s="116"/>
      <c r="H59" s="116"/>
      <c r="I59" s="116"/>
      <c r="J59" s="116"/>
    </row>
    <row r="60" spans="1:10" x14ac:dyDescent="0.3">
      <c r="A60" s="116"/>
      <c r="B60" s="116"/>
      <c r="C60" s="116"/>
      <c r="D60" s="116"/>
      <c r="E60" s="116"/>
      <c r="F60" s="116"/>
      <c r="G60" s="116"/>
      <c r="H60" s="116"/>
      <c r="I60" s="116"/>
      <c r="J60" s="116"/>
    </row>
    <row r="61" spans="1:10" x14ac:dyDescent="0.3">
      <c r="A61" s="116"/>
      <c r="B61" s="116"/>
      <c r="C61" s="116"/>
      <c r="D61" s="116"/>
      <c r="E61" s="116"/>
      <c r="F61" s="116"/>
      <c r="G61" s="116"/>
      <c r="H61" s="116"/>
      <c r="I61" s="116"/>
      <c r="J61" s="116"/>
    </row>
    <row r="62" spans="1:10" x14ac:dyDescent="0.3">
      <c r="A62" s="116"/>
      <c r="B62" s="116"/>
      <c r="C62" s="116"/>
      <c r="D62" s="116"/>
      <c r="E62" s="116"/>
      <c r="F62" s="116"/>
      <c r="G62" s="116"/>
      <c r="H62" s="116"/>
      <c r="I62" s="116"/>
      <c r="J62" s="116"/>
    </row>
    <row r="63" spans="1:10" x14ac:dyDescent="0.3">
      <c r="A63" s="116"/>
      <c r="B63" s="116"/>
      <c r="C63" s="116"/>
      <c r="D63" s="116"/>
      <c r="E63" s="116"/>
      <c r="F63" s="116"/>
      <c r="G63" s="116"/>
      <c r="H63" s="116"/>
      <c r="I63" s="116"/>
      <c r="J63" s="116"/>
    </row>
    <row r="64" spans="1:10" x14ac:dyDescent="0.3">
      <c r="A64" s="116"/>
      <c r="B64" s="116"/>
      <c r="C64" s="116"/>
      <c r="D64" s="116"/>
      <c r="E64" s="116"/>
      <c r="F64" s="116"/>
      <c r="G64" s="116"/>
      <c r="H64" s="116"/>
      <c r="I64" s="116"/>
      <c r="J64" s="116"/>
    </row>
    <row r="65" spans="1:10" x14ac:dyDescent="0.3">
      <c r="A65" s="116"/>
      <c r="B65" s="116"/>
      <c r="C65" s="116"/>
      <c r="D65" s="116"/>
      <c r="E65" s="116"/>
      <c r="F65" s="116"/>
      <c r="G65" s="116"/>
      <c r="H65" s="116"/>
      <c r="I65" s="116"/>
      <c r="J65" s="116"/>
    </row>
    <row r="66" spans="1:10" x14ac:dyDescent="0.3">
      <c r="A66" s="116"/>
      <c r="B66" s="116"/>
      <c r="C66" s="116"/>
      <c r="D66" s="116"/>
      <c r="E66" s="116"/>
      <c r="F66" s="116"/>
      <c r="G66" s="116"/>
      <c r="H66" s="116"/>
      <c r="I66" s="116"/>
      <c r="J66" s="116"/>
    </row>
    <row r="67" spans="1:10" x14ac:dyDescent="0.3">
      <c r="A67" s="116"/>
      <c r="B67" s="116"/>
      <c r="C67" s="116"/>
      <c r="D67" s="116"/>
      <c r="E67" s="116"/>
      <c r="F67" s="116"/>
      <c r="G67" s="116"/>
      <c r="H67" s="116"/>
      <c r="I67" s="116"/>
      <c r="J67" s="116"/>
    </row>
    <row r="68" spans="1:10" x14ac:dyDescent="0.3">
      <c r="A68" s="116"/>
      <c r="B68" s="116"/>
      <c r="C68" s="116"/>
      <c r="D68" s="116"/>
      <c r="E68" s="116"/>
      <c r="F68" s="116"/>
      <c r="G68" s="116"/>
      <c r="H68" s="116"/>
      <c r="I68" s="116"/>
      <c r="J68" s="116"/>
    </row>
    <row r="69" spans="1:10" x14ac:dyDescent="0.3">
      <c r="A69" s="116"/>
      <c r="B69" s="116"/>
      <c r="C69" s="116"/>
      <c r="D69" s="116"/>
      <c r="E69" s="116"/>
      <c r="F69" s="116"/>
      <c r="G69" s="116"/>
      <c r="H69" s="116"/>
      <c r="I69" s="116"/>
      <c r="J69" s="116"/>
    </row>
    <row r="70" spans="1:10" x14ac:dyDescent="0.3">
      <c r="A70" s="116"/>
      <c r="B70" s="116"/>
      <c r="C70" s="116"/>
      <c r="D70" s="116"/>
      <c r="E70" s="116"/>
      <c r="F70" s="116"/>
      <c r="G70" s="116"/>
      <c r="H70" s="116"/>
      <c r="I70" s="116"/>
      <c r="J70" s="116"/>
    </row>
  </sheetData>
  <mergeCells count="7">
    <mergeCell ref="B20:I20"/>
    <mergeCell ref="A9:J9"/>
    <mergeCell ref="B12:I12"/>
    <mergeCell ref="B10:I10"/>
    <mergeCell ref="B14:I14"/>
    <mergeCell ref="B16:I16"/>
    <mergeCell ref="B18:I1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P38"/>
  <sheetViews>
    <sheetView zoomScale="75" workbookViewId="0">
      <selection activeCell="J27" sqref="J27"/>
    </sheetView>
  </sheetViews>
  <sheetFormatPr baseColWidth="10" defaultRowHeight="13.2" x14ac:dyDescent="0.25"/>
  <cols>
    <col min="1" max="1" width="18.5546875" customWidth="1"/>
  </cols>
  <sheetData>
    <row r="2" spans="1:16" ht="13.8" thickBot="1" x14ac:dyDescent="0.3">
      <c r="G2" s="5"/>
      <c r="H2" t="s">
        <v>20</v>
      </c>
    </row>
    <row r="3" spans="1:16" ht="14.4" thickTop="1" thickBot="1" x14ac:dyDescent="0.3">
      <c r="F3" s="218" t="s">
        <v>16</v>
      </c>
      <c r="G3" s="219"/>
      <c r="H3" s="219"/>
      <c r="I3" s="219"/>
      <c r="J3" s="6"/>
      <c r="K3" s="218"/>
      <c r="L3" s="219"/>
      <c r="M3" s="219"/>
      <c r="N3" s="219"/>
      <c r="O3" s="220"/>
    </row>
    <row r="4" spans="1:16" ht="13.8" thickTop="1" x14ac:dyDescent="0.25">
      <c r="C4" t="s">
        <v>29</v>
      </c>
      <c r="G4" s="7" t="s">
        <v>19</v>
      </c>
      <c r="I4" s="7" t="s">
        <v>19</v>
      </c>
      <c r="J4" s="8" t="s">
        <v>37</v>
      </c>
      <c r="L4" s="7"/>
      <c r="N4" s="7"/>
      <c r="O4" s="8"/>
    </row>
    <row r="5" spans="1:16" x14ac:dyDescent="0.25">
      <c r="A5" s="9" t="s">
        <v>73</v>
      </c>
      <c r="B5">
        <v>15</v>
      </c>
      <c r="C5">
        <v>9</v>
      </c>
      <c r="G5" t="s">
        <v>27</v>
      </c>
      <c r="I5" t="s">
        <v>28</v>
      </c>
      <c r="J5" t="s">
        <v>28</v>
      </c>
    </row>
    <row r="6" spans="1:16" ht="13.8" thickBot="1" x14ac:dyDescent="0.3">
      <c r="A6" s="9" t="s">
        <v>74</v>
      </c>
      <c r="B6">
        <v>10</v>
      </c>
      <c r="C6">
        <v>6</v>
      </c>
    </row>
    <row r="7" spans="1:16" ht="14.4" thickTop="1" thickBot="1" x14ac:dyDescent="0.3">
      <c r="A7" s="9" t="s">
        <v>75</v>
      </c>
      <c r="B7">
        <v>5</v>
      </c>
      <c r="C7">
        <v>3</v>
      </c>
      <c r="E7" s="10" t="s">
        <v>32</v>
      </c>
      <c r="F7" s="11">
        <f>IF(Equipes!I8&lt;&gt;"",SUM(Equipes!I8*55)/100,"")</f>
        <v>0</v>
      </c>
      <c r="G7" s="12">
        <f>IF(F7&lt;&gt;"",CEILING(F7,1),"")</f>
        <v>0</v>
      </c>
      <c r="H7" s="11">
        <f>IF(Equipes!I8&lt;&gt;"",SUM(Equipes!I8*45)/100,"")</f>
        <v>0</v>
      </c>
      <c r="I7" s="12">
        <f>IF(H7&lt;&gt;"",FLOOR(H7,1),"")</f>
        <v>0</v>
      </c>
      <c r="J7" s="12">
        <f>IF(I7&lt;&gt;"",SUM(Equipes!E17)+I7,"")</f>
        <v>0</v>
      </c>
      <c r="K7" s="11"/>
      <c r="L7" s="12"/>
      <c r="M7" s="11"/>
      <c r="N7" s="12"/>
      <c r="O7" s="12"/>
      <c r="P7">
        <v>4</v>
      </c>
    </row>
    <row r="8" spans="1:16" ht="14.4" thickTop="1" thickBot="1" x14ac:dyDescent="0.3">
      <c r="A8" t="s">
        <v>13</v>
      </c>
      <c r="B8">
        <v>15</v>
      </c>
      <c r="C8">
        <v>9</v>
      </c>
      <c r="E8" s="13" t="s">
        <v>33</v>
      </c>
      <c r="F8" s="11">
        <f>IF(Equipes!I8&lt;&gt;"",SUM(Equipes!I8*60)/100,"")</f>
        <v>0</v>
      </c>
      <c r="G8" s="12">
        <f>IF(F8&lt;&gt;"",CEILING(F8,1),"")</f>
        <v>0</v>
      </c>
      <c r="H8" s="11">
        <f>IF(Equipes!I8&lt;&gt;"",SUM(Equipes!I8*40)/100,"")</f>
        <v>0</v>
      </c>
      <c r="I8" s="12">
        <f>IF(H8&lt;&gt;"",FLOOR(H8,1),"")</f>
        <v>0</v>
      </c>
      <c r="J8" s="12">
        <f>IF(I8&lt;&gt;"",SUM(Equipes!E17)+I8,"")</f>
        <v>0</v>
      </c>
      <c r="K8" s="11"/>
      <c r="L8" s="12"/>
      <c r="M8" s="11"/>
      <c r="N8" s="12"/>
      <c r="O8" s="12"/>
    </row>
    <row r="9" spans="1:16" ht="14.4" thickTop="1" thickBot="1" x14ac:dyDescent="0.3">
      <c r="A9" t="s">
        <v>14</v>
      </c>
      <c r="B9">
        <v>10</v>
      </c>
      <c r="C9">
        <v>6</v>
      </c>
      <c r="E9" s="13" t="s">
        <v>34</v>
      </c>
      <c r="F9" s="11">
        <f>IF(Equipes!I8&lt;&gt;"",SUM(Equipes!I8*65)/100,"")</f>
        <v>0</v>
      </c>
      <c r="G9" s="12">
        <f>IF(F9&lt;&gt;"",CEILING(F9,1),"")</f>
        <v>0</v>
      </c>
      <c r="H9" s="11">
        <f>IF(Equipes!I8&lt;&gt;"",SUM(Equipes!I8*35)/100,"")</f>
        <v>0</v>
      </c>
      <c r="I9" s="12">
        <f>IF(H9&lt;&gt;"",FLOOR(H9,1),"")</f>
        <v>0</v>
      </c>
      <c r="J9" s="12">
        <f>IF(I9&lt;&gt;"",SUM(Equipes!E17)+I9,"")</f>
        <v>0</v>
      </c>
      <c r="K9" s="11"/>
      <c r="L9" s="12"/>
      <c r="M9" s="11"/>
      <c r="N9" s="12"/>
      <c r="O9" s="12"/>
    </row>
    <row r="10" spans="1:16" ht="14.4" thickTop="1" thickBot="1" x14ac:dyDescent="0.3">
      <c r="A10" t="s">
        <v>15</v>
      </c>
      <c r="B10">
        <v>5</v>
      </c>
      <c r="C10">
        <v>3</v>
      </c>
      <c r="E10" s="14" t="s">
        <v>35</v>
      </c>
      <c r="F10" s="11">
        <f>IF(Equipes!I8&lt;&gt;"",SUM(Equipes!I8*70)/100,"")</f>
        <v>0</v>
      </c>
      <c r="G10" s="12">
        <f>IF(F10&lt;&gt;"",CEILING(F10,1),"")</f>
        <v>0</v>
      </c>
      <c r="H10" s="11">
        <f>IF(Equipes!I8&lt;&gt;"",SUM(Equipes!I8*30)/100,"")</f>
        <v>0</v>
      </c>
      <c r="I10" s="12">
        <f>IF(H10&lt;&gt;"",FLOOR(H10,1),"")</f>
        <v>0</v>
      </c>
      <c r="J10" s="12">
        <f>IF(I10&lt;&gt;"",SUM(Equipes!E17)+I10,"")</f>
        <v>0</v>
      </c>
      <c r="K10" s="11"/>
      <c r="L10" s="12"/>
      <c r="M10" s="11"/>
      <c r="N10" s="12"/>
      <c r="O10" s="12"/>
    </row>
    <row r="11" spans="1:16" ht="13.8" thickTop="1" x14ac:dyDescent="0.25">
      <c r="E11" s="15"/>
      <c r="F11" s="16"/>
      <c r="G11" s="16"/>
      <c r="H11" s="16"/>
      <c r="I11" s="16"/>
      <c r="J11" s="16"/>
      <c r="K11" s="16"/>
      <c r="L11" s="16"/>
      <c r="M11" s="16"/>
      <c r="N11" s="16"/>
    </row>
    <row r="12" spans="1:16" x14ac:dyDescent="0.25">
      <c r="E12" s="4"/>
      <c r="F12" s="16"/>
      <c r="G12" s="16" t="s">
        <v>17</v>
      </c>
      <c r="H12" s="16" t="s">
        <v>18</v>
      </c>
      <c r="I12" s="16"/>
      <c r="J12" s="16"/>
      <c r="K12" s="16"/>
      <c r="L12" s="16"/>
      <c r="M12" s="16"/>
      <c r="N12" s="16"/>
    </row>
    <row r="13" spans="1:16" x14ac:dyDescent="0.25">
      <c r="E13" s="4"/>
      <c r="F13" s="16"/>
      <c r="G13" s="11">
        <f>SUM(G7,I7)</f>
        <v>0</v>
      </c>
      <c r="H13" s="11">
        <f>Equipes!I8</f>
        <v>0</v>
      </c>
      <c r="I13" s="17"/>
      <c r="J13" s="17"/>
      <c r="K13" s="17"/>
      <c r="L13" s="11"/>
      <c r="M13" s="11"/>
      <c r="N13" s="16"/>
    </row>
    <row r="14" spans="1:16" x14ac:dyDescent="0.25">
      <c r="E14" s="4"/>
      <c r="F14" s="16"/>
      <c r="G14" s="11">
        <f>SUM(G8,I8)</f>
        <v>0</v>
      </c>
      <c r="H14" s="11">
        <f>Equipes!I8</f>
        <v>0</v>
      </c>
      <c r="I14" s="17"/>
      <c r="J14" s="17"/>
      <c r="K14" s="17"/>
      <c r="L14" s="11"/>
      <c r="M14" s="11"/>
      <c r="N14" s="16"/>
    </row>
    <row r="15" spans="1:16" x14ac:dyDescent="0.25">
      <c r="F15" s="16"/>
      <c r="G15" s="11">
        <f>SUM(G9,I9)</f>
        <v>0</v>
      </c>
      <c r="H15" s="11">
        <f>Equipes!I8</f>
        <v>0</v>
      </c>
      <c r="I15" s="17"/>
      <c r="J15" s="17"/>
      <c r="K15" s="17"/>
      <c r="L15" s="11"/>
      <c r="M15" s="11"/>
      <c r="N15" s="16"/>
    </row>
    <row r="16" spans="1:16" x14ac:dyDescent="0.25">
      <c r="A16">
        <v>3</v>
      </c>
      <c r="F16" s="16"/>
      <c r="G16" s="11">
        <f>SUM(G10,I10)</f>
        <v>0</v>
      </c>
      <c r="H16" s="11">
        <f>Equipes!I8</f>
        <v>0</v>
      </c>
      <c r="I16" s="17"/>
      <c r="J16" s="17"/>
      <c r="K16" s="17"/>
      <c r="L16" s="11"/>
      <c r="M16" s="11"/>
      <c r="N16" s="16"/>
    </row>
    <row r="19" spans="1:5" x14ac:dyDescent="0.25">
      <c r="B19" t="s">
        <v>41</v>
      </c>
    </row>
    <row r="20" spans="1:5" x14ac:dyDescent="0.25">
      <c r="A20" t="s">
        <v>38</v>
      </c>
      <c r="B20" t="s">
        <v>39</v>
      </c>
      <c r="C20">
        <v>2</v>
      </c>
    </row>
    <row r="23" spans="1:5" x14ac:dyDescent="0.25">
      <c r="B23" s="9" t="s">
        <v>41</v>
      </c>
      <c r="C23">
        <v>2</v>
      </c>
    </row>
    <row r="24" spans="1:5" x14ac:dyDescent="0.25">
      <c r="A24" t="s">
        <v>49</v>
      </c>
      <c r="B24" t="s">
        <v>39</v>
      </c>
    </row>
    <row r="29" spans="1:5" x14ac:dyDescent="0.25">
      <c r="B29" s="4">
        <f>Equipes!$C$10</f>
        <v>0</v>
      </c>
      <c r="C29" s="4"/>
      <c r="D29" s="4"/>
      <c r="E29" s="4">
        <f>Equipes!$D$10</f>
        <v>0</v>
      </c>
    </row>
    <row r="30" spans="1:5" x14ac:dyDescent="0.25">
      <c r="B30" s="4"/>
      <c r="C30" s="4">
        <f>CEILING(C31,1)</f>
        <v>0</v>
      </c>
      <c r="D30" s="4">
        <f>SUM(C30/2)</f>
        <v>0</v>
      </c>
      <c r="E30" s="4">
        <f>FLOOR(D30,1)</f>
        <v>0</v>
      </c>
    </row>
    <row r="31" spans="1:5" x14ac:dyDescent="0.25">
      <c r="B31" s="4"/>
      <c r="C31" s="4">
        <f>SUM(B29/2)</f>
        <v>0</v>
      </c>
      <c r="D31" s="4"/>
      <c r="E31" s="4">
        <f>FLOOR(C31,1)</f>
        <v>0</v>
      </c>
    </row>
    <row r="32" spans="1:5" x14ac:dyDescent="0.25">
      <c r="B32" s="4"/>
      <c r="C32" s="4"/>
      <c r="D32" s="4"/>
      <c r="E32" s="4"/>
    </row>
    <row r="33" spans="2:9" x14ac:dyDescent="0.25">
      <c r="B33" s="4"/>
      <c r="C33" s="4"/>
      <c r="D33" s="4"/>
      <c r="E33" s="4">
        <f>SUM(E29:E31)</f>
        <v>0</v>
      </c>
      <c r="F33">
        <f>SUM(E31+E29)</f>
        <v>0</v>
      </c>
    </row>
    <row r="38" spans="2:9" x14ac:dyDescent="0.25">
      <c r="I38" s="9"/>
    </row>
  </sheetData>
  <mergeCells count="2">
    <mergeCell ref="F3:I3"/>
    <mergeCell ref="K3:O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Equipes</vt:lpstr>
      <vt:lpstr>Feuille de Jury</vt:lpstr>
      <vt:lpstr>Feuil2</vt:lpstr>
      <vt:lpstr>Equipes!Impression_des_titres</vt:lpstr>
      <vt:lpstr>Equipes!Zone_d_impression</vt:lpstr>
    </vt:vector>
  </TitlesOfParts>
  <Company>ARMEE DE L'AIR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</dc:creator>
  <cp:lastModifiedBy>comite ffpjp</cp:lastModifiedBy>
  <cp:lastPrinted>2024-09-26T12:39:18Z</cp:lastPrinted>
  <dcterms:created xsi:type="dcterms:W3CDTF">2001-08-17T07:13:10Z</dcterms:created>
  <dcterms:modified xsi:type="dcterms:W3CDTF">2024-11-23T14:56:50Z</dcterms:modified>
</cp:coreProperties>
</file>